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incolnshirecc-my.sharepoint.com/personal/ke_zhang_lincolnshire_gov_uk/Documents/Desktop/Children/NEW BUDGET/SEND/"/>
    </mc:Choice>
  </mc:AlternateContent>
  <xr:revisionPtr revIDLastSave="4" documentId="8_{5DF63B52-29BA-4FE2-AFA7-F9F5C2DE51C9}" xr6:coauthVersionLast="47" xr6:coauthVersionMax="47" xr10:uidLastSave="{A3F588FB-637E-45C8-816D-C0F409C25F5F}"/>
  <workbookProtection workbookAlgorithmName="SHA-512" workbookHashValue="/BXORPsbhglhl4Q72cF6cpr5o5uV6BNb+6XvCtRu1eClVyMNBDepvpEbmsdAfWExfE9Z6UYIo/OCxyIaQeGpgQ==" workbookSaltValue="qq71c5y1TUzrRc37ib+h2A==" workbookSpinCount="100000" lockStructure="1"/>
  <bookViews>
    <workbookView xWindow="-110" yWindow="-110" windowWidth="19420" windowHeight="10300" tabRatio="897" xr2:uid="{7959DCB7-6F79-4709-B22A-857C6FA2516A}"/>
  </bookViews>
  <sheets>
    <sheet name="School Summary" sheetId="19" r:id="rId1"/>
    <sheet name="Sheet3" sheetId="25" state="hidden" r:id="rId2"/>
    <sheet name="2627 Funding Detail" sheetId="16" state="hidden" r:id="rId3"/>
    <sheet name="2627 Places &amp; Banding" sheetId="15" state="hidden" r:id="rId4"/>
    <sheet name="2627 Funding Detail 2" sheetId="23" state="hidden" r:id="rId5"/>
    <sheet name="2627 Summary" sheetId="20" state="hidden" r:id="rId6"/>
    <sheet name="2526 Funding Comparisons" sheetId="10" state="hidden" r:id="rId7"/>
    <sheet name="Summary" sheetId="7" state="hidden" r:id="rId8"/>
    <sheet name="Fixed Costs" sheetId="11" state="hidden" r:id="rId9"/>
    <sheet name="Combined- special" sheetId="14" state="hidden" r:id="rId10"/>
    <sheet name="2627 Band Values" sheetId="8" state="hidden" r:id="rId11"/>
    <sheet name="2526 Band Calculations (2)" sheetId="24" state="hidden" r:id="rId12"/>
    <sheet name="2526 Band Calculations" sheetId="9" state="hidden" r:id="rId13"/>
    <sheet name="Staff Pay Schedule" sheetId="4" state="hidden" r:id="rId14"/>
    <sheet name="2526 3.4% Allocations" sheetId="13" state="hidden" r:id="rId15"/>
    <sheet name="TA - over 5 years" sheetId="1" state="hidden" r:id="rId16"/>
    <sheet name="GLEA" sheetId="2" state="hidden" r:id="rId17"/>
    <sheet name="Leadership" sheetId="3" state="hidden" r:id="rId18"/>
    <sheet name="Teacher" sheetId="5"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 localSheetId="4">[1]Detailed_Output!$A$4:$U$230</definedName>
    <definedName name="a">#REF!</definedName>
    <definedName name="AAHel">#REF!</definedName>
    <definedName name="ABSG">#REF!</definedName>
    <definedName name="acad" localSheetId="5">'2627 Summary'!$J$1</definedName>
    <definedName name="acad">Summary!$J$1</definedName>
    <definedName name="Acad_months" localSheetId="4">[2]Academies!$B$29:$B$40</definedName>
    <definedName name="Acad_months">#REF!</definedName>
    <definedName name="AST">#REF!</definedName>
    <definedName name="BasketNo">#REF!</definedName>
    <definedName name="BasketUoF_UnAdj">#REF!</definedName>
    <definedName name="DATA1">#REF!</definedName>
    <definedName name="DATA10">#REF!</definedName>
    <definedName name="DATA11">#REF!</definedName>
    <definedName name="DATA12">#REF!</definedName>
    <definedName name="DATA13">#REF!</definedName>
    <definedName name="DATA14" localSheetId="4">'[3]Staffing Est.'!#REF!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DLIST">#REF!</definedName>
    <definedName name="DETAIL">#REF!</definedName>
    <definedName name="DFE" localSheetId="5">'2627 Summary'!$I$2</definedName>
    <definedName name="DFE">Summary!$I$2</definedName>
    <definedName name="ESG">#REF!</definedName>
    <definedName name="FSM_uc">#REF!</definedName>
    <definedName name="FSM_UC_FUTURE">#REF!</definedName>
    <definedName name="FTEall" localSheetId="4">[4]FTEall!$B$11:$S$160</definedName>
    <definedName name="FTEall">#REF!</definedName>
    <definedName name="gg" localSheetId="4">[5]Section52!#REF!</definedName>
    <definedName name="gg">#REF!</definedName>
    <definedName name="Gross_S52">#REF!</definedName>
    <definedName name="Indicator" localSheetId="4">[6]CodeSet!$A$1:$A$2</definedName>
    <definedName name="Indicator">#REF!</definedName>
    <definedName name="Indicator2" localSheetId="4">[6]CodeSet!$A$4:$A$6</definedName>
    <definedName name="Indicator2">#REF!</definedName>
    <definedName name="LA_Choice" localSheetId="4">[7]Instructions!$E$20</definedName>
    <definedName name="LA_Choice">#REF!</definedName>
    <definedName name="LEA_Choice" localSheetId="4">[8]Instructions!$D$6</definedName>
    <definedName name="LEA_Choice">#REF!</definedName>
    <definedName name="LEAcount">#REF!</definedName>
    <definedName name="LIG" localSheetId="4">[9]LIG!$A$5:$J$154</definedName>
    <definedName name="LIG">#REF!</definedName>
    <definedName name="ListLAs" localSheetId="4">'[10]LACSEG All LAs'!$A$4:$A$153</definedName>
    <definedName name="ListLAs">#REF!</definedName>
    <definedName name="Meals">#REF!</definedName>
    <definedName name="MealsHel">#REF!</definedName>
    <definedName name="Mealsold" localSheetId="4">[5]Section52!#REF!</definedName>
    <definedName name="Mealsold">#REF!</definedName>
    <definedName name="Names_Lookup" localSheetId="4">'[7]Background data'!$A$6:$Q$155</definedName>
    <definedName name="Names_Lookup">#REF!</definedName>
    <definedName name="NI">#REF!</definedName>
    <definedName name="OptionsHel">#REF!</definedName>
    <definedName name="p">#REF!</definedName>
    <definedName name="Phase_split" localSheetId="4">[9]all_asc!$A$12:$V$179</definedName>
    <definedName name="Phase_split">#REF!</definedName>
    <definedName name="PlaceNEW">#REF!</definedName>
    <definedName name="_xlnm.Print_Area" localSheetId="16">GLEA!$A$1:$T$70</definedName>
    <definedName name="_xlnm.Print_Area" localSheetId="17">Leadership!$B$1:$R$67</definedName>
    <definedName name="_xlnm.Print_Area" localSheetId="15">'TA - over 5 years'!$B$1:$U$47</definedName>
    <definedName name="PTR">#REF!</definedName>
    <definedName name="PYEAR" localSheetId="4">'[11]Basic Information'!$G$14</definedName>
    <definedName name="PYEAR">#REF!</definedName>
    <definedName name="qry_nor_list_a3_and_a4_cohorts_joined">#REF!</definedName>
    <definedName name="Query2">#REF!</definedName>
    <definedName name="Query3">#REF!</definedName>
    <definedName name="Query4">#REF!</definedName>
    <definedName name="recoupamount" localSheetId="4">'[12]Academy Recoupment'!$D$39</definedName>
    <definedName name="recoupamount">#REF!</definedName>
    <definedName name="RESIDENTIAL1">#REF!</definedName>
    <definedName name="RESIDENTIAL2">#REF!</definedName>
    <definedName name="SALARY">#N/A</definedName>
    <definedName name="school" localSheetId="4">'[13]FTE data'!$A$3:$BR$379</definedName>
    <definedName name="school">#REF!</definedName>
    <definedName name="schools">#REF!</definedName>
    <definedName name="SchTypeList" localSheetId="4">[6]CodeSet!$C$1:$C$10</definedName>
    <definedName name="SchTypeList">#REF!</definedName>
    <definedName name="sec_asc">#REF!</definedName>
    <definedName name="SEC_S52">#REF!</definedName>
    <definedName name="SEN">#REF!</definedName>
    <definedName name="StepS1">#REF!</definedName>
    <definedName name="StepS2">#REF!</definedName>
    <definedName name="StepS3">#REF!</definedName>
    <definedName name="StepS4">#REF!</definedName>
    <definedName name="StepS5">#REF!</definedName>
    <definedName name="StepS6">#REF!</definedName>
    <definedName name="StepS7">#REF!</definedName>
    <definedName name="TableOne" localSheetId="4">'[9]S52 Sec'!$A$11:$CO$161</definedName>
    <definedName name="TableOne">#REF!</definedName>
    <definedName name="TableOneGross" localSheetId="4">'[4]S52 Gross'!$A$11:$CY$161</definedName>
    <definedName name="TableOneGross">#REF!</definedName>
    <definedName name="TableOneSec" localSheetId="4">'[4]S52 Sec'!$A$11:$CW$161</definedName>
    <definedName name="TableOneSec">#REF!</definedName>
    <definedName name="TEST1">#REF!</definedName>
    <definedName name="TESTHKEY">#REF!</definedName>
    <definedName name="TESTKEYS">#REF!</definedName>
    <definedName name="TESTVKEY">#REF!</definedName>
    <definedName name="UoF_Adj">#REF!</definedName>
    <definedName name="UoFHel">#REF!</definedName>
    <definedName name="YEAR1" localSheetId="4">'[11]Basic Information'!$G$8</definedName>
    <definedName name="YEAR1">#REF!</definedName>
    <definedName name="YEAR2" localSheetId="4">'[11]Basic Information'!$G$10</definedName>
    <definedName name="YEAR2">#REF!</definedName>
    <definedName name="YEAR3" localSheetId="4">'[11]Basic Information'!$G$11</definedName>
    <definedName name="YEAR3">#REF!</definedName>
    <definedName name="YEAR4" localSheetId="4">'[11]Basic Information'!$G$12</definedName>
    <definedName name="YEAR4">#REF!</definedName>
    <definedName name="YEAR5" localSheetId="4">'[11]Basic Information'!$G$13</definedName>
    <definedName name="YEAR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5" l="1"/>
  <c r="I15" i="15"/>
  <c r="G12" i="15"/>
  <c r="I12" i="15"/>
  <c r="J5" i="15"/>
  <c r="I5" i="15"/>
  <c r="J18" i="15"/>
  <c r="F18" i="15"/>
  <c r="J20" i="15"/>
  <c r="F20" i="15"/>
  <c r="BN13" i="15"/>
  <c r="BR12" i="15"/>
  <c r="AZ13" i="15"/>
  <c r="J13" i="15" l="1"/>
  <c r="H13" i="15"/>
  <c r="I13" i="15"/>
  <c r="C7" i="20" l="1"/>
  <c r="E7" i="20"/>
  <c r="BS16" i="15"/>
  <c r="BV16" i="15"/>
  <c r="CG16" i="15"/>
  <c r="BC15" i="15"/>
  <c r="AT15" i="15"/>
  <c r="F24" i="4"/>
  <c r="F26" i="4"/>
  <c r="CQ6" i="15"/>
  <c r="CQ7" i="15"/>
  <c r="CQ8" i="15"/>
  <c r="CQ9" i="15"/>
  <c r="CQ10" i="15"/>
  <c r="CQ11" i="15"/>
  <c r="CQ12" i="15"/>
  <c r="CQ13" i="15"/>
  <c r="CQ14" i="15"/>
  <c r="CQ15" i="15"/>
  <c r="CQ16" i="15"/>
  <c r="CQ17" i="15"/>
  <c r="CQ18" i="15"/>
  <c r="CQ19" i="15"/>
  <c r="CQ20" i="15"/>
  <c r="CQ5" i="15"/>
  <c r="CP5" i="15"/>
  <c r="CP6" i="15"/>
  <c r="CP7" i="15"/>
  <c r="CP8" i="15"/>
  <c r="CP9" i="15"/>
  <c r="CP10" i="15"/>
  <c r="CP11" i="15"/>
  <c r="CP12" i="15"/>
  <c r="CP13" i="15"/>
  <c r="CP14" i="15"/>
  <c r="CP15" i="15"/>
  <c r="CP16" i="15"/>
  <c r="CP17" i="15"/>
  <c r="CP18" i="15"/>
  <c r="CP19" i="15"/>
  <c r="CP20" i="15"/>
  <c r="CJ6" i="15"/>
  <c r="CK6" i="15"/>
  <c r="CL6" i="15"/>
  <c r="CM6" i="15"/>
  <c r="CN6" i="15"/>
  <c r="CO6" i="15"/>
  <c r="CJ7" i="15"/>
  <c r="CK7" i="15"/>
  <c r="CL7" i="15"/>
  <c r="CM7" i="15"/>
  <c r="CN7" i="15"/>
  <c r="CO7" i="15"/>
  <c r="CJ8" i="15"/>
  <c r="CK8" i="15"/>
  <c r="CL8" i="15"/>
  <c r="CM8" i="15"/>
  <c r="CN8" i="15"/>
  <c r="CO8" i="15"/>
  <c r="CJ9" i="15"/>
  <c r="CK9" i="15"/>
  <c r="CL9" i="15"/>
  <c r="CM9" i="15"/>
  <c r="CN9" i="15"/>
  <c r="CO9" i="15"/>
  <c r="CJ10" i="15"/>
  <c r="CK10" i="15"/>
  <c r="CL10" i="15"/>
  <c r="CM10" i="15"/>
  <c r="CN10" i="15"/>
  <c r="CO10" i="15"/>
  <c r="CJ11" i="15"/>
  <c r="CK11" i="15"/>
  <c r="CL11" i="15"/>
  <c r="CM11" i="15"/>
  <c r="CN11" i="15"/>
  <c r="CO11" i="15"/>
  <c r="CJ12" i="15"/>
  <c r="CK12" i="15"/>
  <c r="CL12" i="15"/>
  <c r="CM12" i="15"/>
  <c r="CN12" i="15"/>
  <c r="CO12" i="15"/>
  <c r="CJ13" i="15"/>
  <c r="CK13" i="15"/>
  <c r="CL13" i="15"/>
  <c r="CM13" i="15"/>
  <c r="CN13" i="15"/>
  <c r="CO13" i="15"/>
  <c r="CJ14" i="15"/>
  <c r="CK14" i="15"/>
  <c r="CL14" i="15"/>
  <c r="CM14" i="15"/>
  <c r="CN14" i="15"/>
  <c r="CO14" i="15"/>
  <c r="CJ15" i="15"/>
  <c r="CK15" i="15"/>
  <c r="CL15" i="15"/>
  <c r="CM15" i="15"/>
  <c r="CN15" i="15"/>
  <c r="CO15" i="15"/>
  <c r="CJ16" i="15"/>
  <c r="CK16" i="15"/>
  <c r="CL16" i="15"/>
  <c r="CM16" i="15"/>
  <c r="CN16" i="15"/>
  <c r="CO16" i="15"/>
  <c r="CJ17" i="15"/>
  <c r="CK17" i="15"/>
  <c r="CL17" i="15"/>
  <c r="CM17" i="15"/>
  <c r="CN17" i="15"/>
  <c r="CO17" i="15"/>
  <c r="CJ18" i="15"/>
  <c r="CK18" i="15"/>
  <c r="CL18" i="15"/>
  <c r="CM18" i="15"/>
  <c r="CN18" i="15"/>
  <c r="CO18" i="15"/>
  <c r="CJ19" i="15"/>
  <c r="CK19" i="15"/>
  <c r="CL19" i="15"/>
  <c r="CM19" i="15"/>
  <c r="CN19" i="15"/>
  <c r="CO19" i="15"/>
  <c r="CJ20" i="15"/>
  <c r="CK20" i="15"/>
  <c r="CL20" i="15"/>
  <c r="CM20" i="15"/>
  <c r="CN20" i="15"/>
  <c r="CO20" i="15"/>
  <c r="CM5" i="15"/>
  <c r="CL5" i="15"/>
  <c r="CK5" i="15"/>
  <c r="CJ5" i="15"/>
  <c r="CO5" i="15"/>
  <c r="CN5" i="15"/>
  <c r="AR5" i="15"/>
  <c r="AM5" i="15"/>
  <c r="J24" i="4" l="1"/>
  <c r="F22" i="4"/>
  <c r="O47" i="15" l="1"/>
  <c r="S25" i="15" l="1"/>
  <c r="AQ24" i="15" l="1"/>
  <c r="AK5" i="15" l="1"/>
  <c r="O12" i="15" l="1"/>
  <c r="S12" i="15" s="1"/>
  <c r="BA12" i="15" s="1"/>
  <c r="O13" i="15"/>
  <c r="O5" i="15"/>
  <c r="B6" i="19"/>
  <c r="H18" i="8"/>
  <c r="Y14" i="10"/>
  <c r="Y36" i="10"/>
  <c r="Y35" i="10"/>
  <c r="Y34" i="10"/>
  <c r="Y33" i="10"/>
  <c r="H79" i="19"/>
  <c r="C63" i="10"/>
  <c r="C64" i="10"/>
  <c r="C65" i="10"/>
  <c r="C62" i="10"/>
  <c r="C51" i="10"/>
  <c r="C52" i="10"/>
  <c r="C53" i="10"/>
  <c r="C54" i="10"/>
  <c r="C55" i="10"/>
  <c r="C56" i="10"/>
  <c r="C57" i="10"/>
  <c r="C58" i="10"/>
  <c r="C59" i="10"/>
  <c r="C60" i="10"/>
  <c r="C61" i="10"/>
  <c r="C50" i="10"/>
  <c r="B65" i="10"/>
  <c r="B64" i="10"/>
  <c r="B63" i="10"/>
  <c r="B62" i="10"/>
  <c r="B61" i="10"/>
  <c r="B60" i="10"/>
  <c r="B59" i="10"/>
  <c r="B58" i="10"/>
  <c r="B57" i="10"/>
  <c r="B56" i="10"/>
  <c r="B55" i="10"/>
  <c r="B54" i="10"/>
  <c r="B53" i="10"/>
  <c r="B52" i="10"/>
  <c r="B51" i="10"/>
  <c r="B50" i="10"/>
  <c r="J29" i="19" l="1"/>
  <c r="I31" i="19" l="1"/>
  <c r="J72" i="19"/>
  <c r="J71" i="19"/>
  <c r="H75" i="19"/>
  <c r="H74" i="19"/>
  <c r="H73" i="19"/>
  <c r="H72" i="19"/>
  <c r="H71" i="19"/>
  <c r="H76" i="19"/>
  <c r="H77" i="19"/>
  <c r="H78" i="19"/>
  <c r="H70" i="19"/>
  <c r="Y4" i="10"/>
  <c r="B34" i="10"/>
  <c r="B35" i="10"/>
  <c r="B36" i="10"/>
  <c r="B33" i="10"/>
  <c r="B5" i="10"/>
  <c r="B6" i="10"/>
  <c r="B7" i="10"/>
  <c r="B8" i="10"/>
  <c r="B9" i="10"/>
  <c r="B10" i="10"/>
  <c r="B11" i="10"/>
  <c r="B12" i="10"/>
  <c r="B13" i="10"/>
  <c r="B14" i="10"/>
  <c r="B15" i="10"/>
  <c r="B4" i="10"/>
  <c r="H80" i="19" l="1"/>
  <c r="J12" i="15" l="1"/>
  <c r="J17" i="15"/>
  <c r="F17" i="15"/>
  <c r="I11" i="15"/>
  <c r="D11" i="15"/>
  <c r="H44" i="19" l="1"/>
  <c r="K21" i="16"/>
  <c r="J22" i="24"/>
  <c r="O22" i="24" s="1"/>
  <c r="V21" i="24"/>
  <c r="O21" i="24"/>
  <c r="M21" i="24"/>
  <c r="K21" i="24"/>
  <c r="V20" i="24"/>
  <c r="O20" i="24"/>
  <c r="M20" i="24"/>
  <c r="K20" i="24"/>
  <c r="V19" i="24"/>
  <c r="O19" i="24"/>
  <c r="M19" i="24"/>
  <c r="K19" i="24"/>
  <c r="V18" i="24"/>
  <c r="O18" i="24"/>
  <c r="M18" i="24"/>
  <c r="K18" i="24"/>
  <c r="V17" i="24"/>
  <c r="O17" i="24"/>
  <c r="M17" i="24"/>
  <c r="K17" i="24"/>
  <c r="V16" i="24"/>
  <c r="O16" i="24"/>
  <c r="M16" i="24"/>
  <c r="K16" i="24"/>
  <c r="V15" i="24"/>
  <c r="O15" i="24"/>
  <c r="M15" i="24"/>
  <c r="K15" i="24"/>
  <c r="V14" i="24"/>
  <c r="O14" i="24"/>
  <c r="M14" i="24"/>
  <c r="K14" i="24"/>
  <c r="V13" i="24"/>
  <c r="O13" i="24"/>
  <c r="M13" i="24"/>
  <c r="K13" i="24"/>
  <c r="V12" i="24"/>
  <c r="O12" i="24"/>
  <c r="M12" i="24"/>
  <c r="K12" i="24"/>
  <c r="V11" i="24"/>
  <c r="O11" i="24"/>
  <c r="M11" i="24"/>
  <c r="K11" i="24"/>
  <c r="V10" i="24"/>
  <c r="O10" i="24"/>
  <c r="M10" i="24"/>
  <c r="K10" i="24"/>
  <c r="V9" i="24"/>
  <c r="O9" i="24"/>
  <c r="M9" i="24"/>
  <c r="K9" i="24"/>
  <c r="V8" i="24"/>
  <c r="O8" i="24"/>
  <c r="M8" i="24"/>
  <c r="K8" i="24"/>
  <c r="V7" i="24"/>
  <c r="O7" i="24"/>
  <c r="M7" i="24"/>
  <c r="K7" i="24"/>
  <c r="V6" i="24"/>
  <c r="O6" i="24"/>
  <c r="M6" i="24"/>
  <c r="K6" i="24"/>
  <c r="B26" i="20"/>
  <c r="B10" i="20"/>
  <c r="B65" i="23"/>
  <c r="B64" i="23"/>
  <c r="B63" i="23"/>
  <c r="B62" i="23"/>
  <c r="F61" i="23"/>
  <c r="B61" i="23"/>
  <c r="F60" i="23"/>
  <c r="F67" i="23" s="1"/>
  <c r="F69" i="23" s="1"/>
  <c r="B60" i="23"/>
  <c r="F59" i="23"/>
  <c r="B59" i="23"/>
  <c r="B58" i="23"/>
  <c r="B57" i="23"/>
  <c r="B56" i="23"/>
  <c r="B55" i="23"/>
  <c r="F54" i="23"/>
  <c r="B54" i="23"/>
  <c r="B53" i="23"/>
  <c r="B52" i="23"/>
  <c r="B51" i="23"/>
  <c r="B50" i="23"/>
  <c r="B41" i="23"/>
  <c r="B40" i="23"/>
  <c r="B39" i="23"/>
  <c r="B38" i="23"/>
  <c r="B37" i="23"/>
  <c r="B36" i="23"/>
  <c r="B35" i="23"/>
  <c r="B34" i="23"/>
  <c r="B33" i="23"/>
  <c r="B32" i="23"/>
  <c r="B31" i="23"/>
  <c r="B30" i="23"/>
  <c r="B29" i="23"/>
  <c r="B28" i="23"/>
  <c r="B27" i="23"/>
  <c r="B26" i="23"/>
  <c r="W21" i="23"/>
  <c r="V21" i="23"/>
  <c r="F21" i="23"/>
  <c r="B19" i="23"/>
  <c r="B18" i="23"/>
  <c r="B17" i="23"/>
  <c r="B16" i="23"/>
  <c r="P15" i="23"/>
  <c r="B15" i="23"/>
  <c r="G14" i="23"/>
  <c r="G60" i="23" s="1"/>
  <c r="B14" i="23"/>
  <c r="B13" i="23"/>
  <c r="B12" i="23"/>
  <c r="B11" i="23"/>
  <c r="B10" i="23"/>
  <c r="B9" i="23"/>
  <c r="B8" i="23"/>
  <c r="B7" i="23"/>
  <c r="B6" i="23"/>
  <c r="G5" i="23"/>
  <c r="B5" i="23"/>
  <c r="B4" i="23"/>
  <c r="D15" i="8"/>
  <c r="H15" i="8" s="1"/>
  <c r="I18" i="8" s="1"/>
  <c r="AM33" i="10" s="1"/>
  <c r="BM6" i="15"/>
  <c r="BM7" i="15"/>
  <c r="BM8" i="15"/>
  <c r="BM9" i="15"/>
  <c r="BM10" i="15"/>
  <c r="BM11" i="15"/>
  <c r="BM12" i="15"/>
  <c r="BM13" i="15"/>
  <c r="BM14" i="15"/>
  <c r="BM15" i="15"/>
  <c r="BM16" i="15"/>
  <c r="BM17" i="15"/>
  <c r="BM18" i="15"/>
  <c r="BM19" i="15"/>
  <c r="BM20" i="15"/>
  <c r="BL6" i="15"/>
  <c r="BL7" i="15"/>
  <c r="BL8" i="15"/>
  <c r="BL9" i="15"/>
  <c r="BL10" i="15"/>
  <c r="BL11" i="15"/>
  <c r="BL12" i="15"/>
  <c r="BL13" i="15"/>
  <c r="BL14" i="15"/>
  <c r="BL15" i="15"/>
  <c r="BL16" i="15"/>
  <c r="BL17" i="15"/>
  <c r="BL18" i="15"/>
  <c r="BL19" i="15"/>
  <c r="BL20" i="15"/>
  <c r="BK6" i="15"/>
  <c r="BK7" i="15"/>
  <c r="BK8" i="15"/>
  <c r="BK9" i="15"/>
  <c r="BK10" i="15"/>
  <c r="BK11" i="15"/>
  <c r="BK12" i="15"/>
  <c r="BK13" i="15"/>
  <c r="BK14" i="15"/>
  <c r="BK15" i="15"/>
  <c r="BK16" i="15"/>
  <c r="BK17" i="15"/>
  <c r="BK18" i="15"/>
  <c r="BK19" i="15"/>
  <c r="BK20" i="15"/>
  <c r="BK5" i="15"/>
  <c r="AU5" i="15"/>
  <c r="AV5" i="15"/>
  <c r="AW5" i="15"/>
  <c r="AX5" i="15"/>
  <c r="AY5" i="15"/>
  <c r="AZ5" i="15"/>
  <c r="AU9" i="15"/>
  <c r="AV9" i="15"/>
  <c r="AW9" i="15"/>
  <c r="AX9" i="15"/>
  <c r="AY9" i="15"/>
  <c r="AZ9" i="15"/>
  <c r="AU10" i="15"/>
  <c r="AV10" i="15"/>
  <c r="AW10" i="15"/>
  <c r="AX10" i="15"/>
  <c r="AY10" i="15"/>
  <c r="AZ10" i="15"/>
  <c r="AU11" i="15"/>
  <c r="AV11" i="15"/>
  <c r="AW11" i="15"/>
  <c r="AX11" i="15"/>
  <c r="AY11" i="15"/>
  <c r="AZ11" i="15"/>
  <c r="AU12" i="15"/>
  <c r="AV12" i="15"/>
  <c r="AW12" i="15"/>
  <c r="AX12" i="15"/>
  <c r="AY12" i="15"/>
  <c r="AZ12" i="15"/>
  <c r="AU13" i="15"/>
  <c r="AV13" i="15"/>
  <c r="AW13" i="15"/>
  <c r="AX13" i="15"/>
  <c r="AY13" i="15"/>
  <c r="AU14" i="15"/>
  <c r="AV14" i="15"/>
  <c r="AW14" i="15"/>
  <c r="AX14" i="15"/>
  <c r="AY14" i="15"/>
  <c r="AZ14" i="15"/>
  <c r="AU15" i="15"/>
  <c r="AV15" i="15"/>
  <c r="AW15" i="15"/>
  <c r="AX15" i="15"/>
  <c r="AY15" i="15"/>
  <c r="AZ15" i="15"/>
  <c r="AU16" i="15"/>
  <c r="AV16" i="15"/>
  <c r="AW16" i="15"/>
  <c r="AX16" i="15"/>
  <c r="AY16" i="15"/>
  <c r="AZ16" i="15"/>
  <c r="AU17" i="15"/>
  <c r="AV17" i="15"/>
  <c r="AW17" i="15"/>
  <c r="AX17" i="15"/>
  <c r="AY17" i="15"/>
  <c r="AZ17" i="15"/>
  <c r="AU18" i="15"/>
  <c r="AV18" i="15"/>
  <c r="AW18" i="15"/>
  <c r="AX18" i="15"/>
  <c r="AY18" i="15"/>
  <c r="AZ18" i="15"/>
  <c r="AU19" i="15"/>
  <c r="AV19" i="15"/>
  <c r="AW19" i="15"/>
  <c r="AX19" i="15"/>
  <c r="AY19" i="15"/>
  <c r="AZ19" i="15"/>
  <c r="AU20" i="15"/>
  <c r="AV20" i="15"/>
  <c r="AW20" i="15"/>
  <c r="AX20" i="15"/>
  <c r="AY20" i="15"/>
  <c r="AZ20" i="15"/>
  <c r="AU8" i="15"/>
  <c r="AV8" i="15"/>
  <c r="AW8" i="15"/>
  <c r="AX8" i="15"/>
  <c r="AY8" i="15"/>
  <c r="AZ8" i="15"/>
  <c r="AU7" i="15"/>
  <c r="AV7" i="15"/>
  <c r="AW7" i="15"/>
  <c r="AX7" i="15"/>
  <c r="AY7" i="15"/>
  <c r="AZ7" i="15"/>
  <c r="AU6" i="15"/>
  <c r="AV6" i="15"/>
  <c r="AW6" i="15"/>
  <c r="AX6" i="15"/>
  <c r="AY6" i="15"/>
  <c r="AZ6" i="15"/>
  <c r="AT20" i="15"/>
  <c r="AT19" i="15"/>
  <c r="AT18" i="15"/>
  <c r="AT17" i="15"/>
  <c r="AT16" i="15"/>
  <c r="AT14" i="15"/>
  <c r="AT13" i="15"/>
  <c r="AT12" i="15"/>
  <c r="AT11" i="15"/>
  <c r="AT10" i="15"/>
  <c r="AT9" i="15"/>
  <c r="AT8" i="15"/>
  <c r="AT7" i="15"/>
  <c r="AT6" i="15"/>
  <c r="AT5" i="15"/>
  <c r="M42" i="15"/>
  <c r="BB12" i="15" l="1"/>
  <c r="K22" i="24"/>
  <c r="M22" i="24"/>
  <c r="V22" i="24"/>
  <c r="G51" i="23"/>
  <c r="AN21" i="15"/>
  <c r="M37" i="15" s="1"/>
  <c r="Y5" i="10" l="1"/>
  <c r="Y6" i="10"/>
  <c r="Y7" i="10"/>
  <c r="Y8" i="10"/>
  <c r="Y9" i="10"/>
  <c r="Y10" i="10"/>
  <c r="Y11" i="10"/>
  <c r="Y12" i="10"/>
  <c r="Y13" i="10"/>
  <c r="Y15" i="10"/>
  <c r="AH43" i="10" l="1"/>
  <c r="W6" i="15"/>
  <c r="Y6" i="15" l="1"/>
  <c r="W5" i="15" l="1"/>
  <c r="I19" i="8" l="1"/>
  <c r="I20" i="8"/>
  <c r="H17" i="8"/>
  <c r="AQ6" i="15" l="1"/>
  <c r="AQ7" i="15"/>
  <c r="AQ8" i="15"/>
  <c r="AQ9" i="15"/>
  <c r="AQ10" i="15"/>
  <c r="AQ11" i="15"/>
  <c r="AQ12" i="15"/>
  <c r="AQ13" i="15"/>
  <c r="AQ14" i="15"/>
  <c r="AQ15" i="15"/>
  <c r="AQ16" i="15"/>
  <c r="AQ17" i="15"/>
  <c r="AQ18" i="15"/>
  <c r="AQ19" i="15"/>
  <c r="AQ20" i="15"/>
  <c r="AQ5" i="15"/>
  <c r="I40" i="19"/>
  <c r="I39" i="19"/>
  <c r="I38" i="19" l="1"/>
  <c r="B16" i="19"/>
  <c r="AK6" i="15"/>
  <c r="AK7" i="15"/>
  <c r="AK8" i="15"/>
  <c r="AK9" i="15"/>
  <c r="AK10" i="15"/>
  <c r="AK11" i="15"/>
  <c r="AK12" i="15"/>
  <c r="AK13" i="15"/>
  <c r="AK14" i="15"/>
  <c r="AK15" i="15"/>
  <c r="AK16" i="15"/>
  <c r="AK17" i="15"/>
  <c r="AK18" i="15"/>
  <c r="AK19" i="15"/>
  <c r="AK20" i="15"/>
  <c r="H31" i="19"/>
  <c r="V6" i="9"/>
  <c r="H29" i="20"/>
  <c r="H28" i="20"/>
  <c r="H27" i="20"/>
  <c r="H26" i="20"/>
  <c r="H25" i="20"/>
  <c r="H16" i="20"/>
  <c r="H17" i="20" s="1"/>
  <c r="H18" i="20" s="1"/>
  <c r="H19" i="20" s="1"/>
  <c r="H20" i="20" s="1"/>
  <c r="H13" i="19"/>
  <c r="H12" i="19"/>
  <c r="H11" i="19"/>
  <c r="H10" i="19"/>
  <c r="I13" i="19"/>
  <c r="I12" i="19"/>
  <c r="I11" i="19"/>
  <c r="I10" i="19"/>
  <c r="H45" i="19"/>
  <c r="C41" i="19"/>
  <c r="AI6" i="15"/>
  <c r="I5" i="23" s="1"/>
  <c r="I51" i="23" s="1"/>
  <c r="AI7" i="15"/>
  <c r="I6" i="23" s="1"/>
  <c r="I52" i="23" s="1"/>
  <c r="AI8" i="15"/>
  <c r="I7" i="23" s="1"/>
  <c r="I53" i="23" s="1"/>
  <c r="AI9" i="15"/>
  <c r="I9" i="23" s="1"/>
  <c r="I55" i="23" s="1"/>
  <c r="AI10" i="15"/>
  <c r="I10" i="23" s="1"/>
  <c r="I56" i="23" s="1"/>
  <c r="AI11" i="15"/>
  <c r="AI12" i="15"/>
  <c r="AI13" i="15"/>
  <c r="AI14" i="15"/>
  <c r="I17" i="23" s="1"/>
  <c r="I63" i="23" s="1"/>
  <c r="AI15" i="15"/>
  <c r="I18" i="23" s="1"/>
  <c r="I64" i="23" s="1"/>
  <c r="AI16" i="15"/>
  <c r="I19" i="23" s="1"/>
  <c r="I65" i="23" s="1"/>
  <c r="AI17" i="15"/>
  <c r="I8" i="23" s="1"/>
  <c r="I54" i="23" s="1"/>
  <c r="AI18" i="15"/>
  <c r="I13" i="23" s="1"/>
  <c r="I59" i="23" s="1"/>
  <c r="AI19" i="15"/>
  <c r="I14" i="23" s="1"/>
  <c r="I60" i="23" s="1"/>
  <c r="AI20" i="15"/>
  <c r="I15" i="23" s="1"/>
  <c r="I61" i="23" s="1"/>
  <c r="AI5" i="15"/>
  <c r="I4" i="23" s="1"/>
  <c r="G16" i="16"/>
  <c r="G17" i="16"/>
  <c r="G18" i="16"/>
  <c r="G19" i="16"/>
  <c r="O4" i="11"/>
  <c r="AE17" i="15"/>
  <c r="AE18" i="15"/>
  <c r="AE19" i="15"/>
  <c r="AE20" i="15"/>
  <c r="AE6" i="15"/>
  <c r="AE7" i="15"/>
  <c r="AE8" i="15"/>
  <c r="AE9" i="15"/>
  <c r="AE10" i="15"/>
  <c r="AE11" i="15"/>
  <c r="AE12" i="15"/>
  <c r="AE13" i="15"/>
  <c r="AE14" i="15"/>
  <c r="AE15" i="15"/>
  <c r="AE16" i="15"/>
  <c r="AE5" i="15"/>
  <c r="S6" i="15"/>
  <c r="S7" i="15"/>
  <c r="S8" i="15"/>
  <c r="S9" i="15"/>
  <c r="S10" i="15"/>
  <c r="S11" i="15"/>
  <c r="S13" i="15"/>
  <c r="S14" i="15"/>
  <c r="S15" i="15"/>
  <c r="S16" i="15"/>
  <c r="S17" i="15"/>
  <c r="S18" i="15"/>
  <c r="S19" i="15"/>
  <c r="S20" i="15"/>
  <c r="S5" i="15"/>
  <c r="BA5" i="15" s="1"/>
  <c r="W17" i="15"/>
  <c r="Y17" i="15"/>
  <c r="AA17" i="15"/>
  <c r="W18" i="15"/>
  <c r="Y18" i="15"/>
  <c r="AA18" i="15"/>
  <c r="W19" i="15"/>
  <c r="Y19" i="15"/>
  <c r="AA19" i="15"/>
  <c r="W20" i="15"/>
  <c r="Y20" i="15"/>
  <c r="AA20" i="15"/>
  <c r="M21" i="15"/>
  <c r="M23" i="15" s="1"/>
  <c r="O21" i="15"/>
  <c r="O23" i="15" s="1"/>
  <c r="P21" i="15"/>
  <c r="P23" i="15" s="1"/>
  <c r="L21" i="15"/>
  <c r="L23" i="15" s="1"/>
  <c r="AA6" i="15"/>
  <c r="AA7" i="15"/>
  <c r="AA8" i="15"/>
  <c r="AA9" i="15"/>
  <c r="AA10" i="15"/>
  <c r="AA11" i="15"/>
  <c r="AA12" i="15"/>
  <c r="AA13" i="15"/>
  <c r="AA14" i="15"/>
  <c r="AA15" i="15"/>
  <c r="AA16" i="15"/>
  <c r="Y7" i="15"/>
  <c r="Y8" i="15"/>
  <c r="Y9" i="15"/>
  <c r="Y10" i="15"/>
  <c r="Y11" i="15"/>
  <c r="Y12" i="15"/>
  <c r="Y13" i="15"/>
  <c r="Y14" i="15"/>
  <c r="Y15" i="15"/>
  <c r="Y16" i="15"/>
  <c r="W7" i="15"/>
  <c r="W8" i="15"/>
  <c r="W9" i="15"/>
  <c r="W10" i="15"/>
  <c r="W11" i="15"/>
  <c r="W12" i="15"/>
  <c r="W13" i="15"/>
  <c r="W14" i="15"/>
  <c r="W15" i="15"/>
  <c r="W16" i="15"/>
  <c r="AA5" i="15"/>
  <c r="Y5" i="15"/>
  <c r="Q18" i="15"/>
  <c r="Q19" i="15"/>
  <c r="Q20" i="15"/>
  <c r="Q17" i="15"/>
  <c r="N18" i="15"/>
  <c r="N19" i="15"/>
  <c r="N20" i="15"/>
  <c r="N17" i="15"/>
  <c r="Q5" i="15"/>
  <c r="N6" i="15"/>
  <c r="N7" i="15"/>
  <c r="N8" i="15"/>
  <c r="N9" i="15"/>
  <c r="N10" i="15"/>
  <c r="N11" i="15"/>
  <c r="N12" i="15"/>
  <c r="N13" i="15"/>
  <c r="N14" i="15"/>
  <c r="N15" i="15"/>
  <c r="N16" i="15"/>
  <c r="N5" i="15"/>
  <c r="Q6" i="15"/>
  <c r="Q7" i="15"/>
  <c r="Q8" i="15"/>
  <c r="Q9" i="15"/>
  <c r="Q10" i="15"/>
  <c r="Q11" i="15"/>
  <c r="Q12" i="15"/>
  <c r="Q13" i="15"/>
  <c r="Q14" i="15"/>
  <c r="Q15" i="15"/>
  <c r="Q16" i="15"/>
  <c r="H21" i="19" l="1"/>
  <c r="I11" i="23"/>
  <c r="I57" i="23" s="1"/>
  <c r="J31" i="19"/>
  <c r="J27" i="19"/>
  <c r="J84" i="19"/>
  <c r="J10" i="19"/>
  <c r="J11" i="19"/>
  <c r="J12" i="19"/>
  <c r="J13" i="19"/>
  <c r="AM10" i="15"/>
  <c r="AP10" i="15" s="1"/>
  <c r="L9" i="16" s="1"/>
  <c r="BR19" i="15"/>
  <c r="BA19" i="15"/>
  <c r="BA10" i="15"/>
  <c r="BR10" i="15"/>
  <c r="BA9" i="15"/>
  <c r="BR9" i="15"/>
  <c r="BA7" i="15"/>
  <c r="BR7" i="15"/>
  <c r="BR18" i="15"/>
  <c r="BA18" i="15"/>
  <c r="J12" i="16"/>
  <c r="I16" i="23"/>
  <c r="I62" i="23" s="1"/>
  <c r="BA8" i="15"/>
  <c r="BR8" i="15"/>
  <c r="BR20" i="15"/>
  <c r="BA20" i="15"/>
  <c r="BA6" i="15"/>
  <c r="BR6" i="15"/>
  <c r="BR17" i="15"/>
  <c r="BA17" i="15"/>
  <c r="J11" i="16"/>
  <c r="I12" i="23"/>
  <c r="I58" i="23" s="1"/>
  <c r="BR5" i="15"/>
  <c r="BA16" i="15"/>
  <c r="BR16" i="15"/>
  <c r="I50" i="23"/>
  <c r="BA15" i="15"/>
  <c r="BR15" i="15"/>
  <c r="C13" i="16"/>
  <c r="BR14" i="15"/>
  <c r="BA14" i="15"/>
  <c r="BA13" i="15"/>
  <c r="BR13" i="15"/>
  <c r="BR11" i="15"/>
  <c r="J82" i="19" s="1"/>
  <c r="BA11" i="15"/>
  <c r="BB11" i="15" s="1"/>
  <c r="AM19" i="15"/>
  <c r="AP19" i="15" s="1"/>
  <c r="AM15" i="15"/>
  <c r="AO15" i="15" s="1"/>
  <c r="AM18" i="15"/>
  <c r="AP18" i="15" s="1"/>
  <c r="AM14" i="15"/>
  <c r="AP14" i="15" s="1"/>
  <c r="AM7" i="15"/>
  <c r="AP7" i="15" s="1"/>
  <c r="H20" i="19"/>
  <c r="AM9" i="15"/>
  <c r="AR9" i="15" s="1"/>
  <c r="AM20" i="15"/>
  <c r="AP20" i="15" s="1"/>
  <c r="AF13" i="15"/>
  <c r="F11" i="16"/>
  <c r="J10" i="16"/>
  <c r="F10" i="16"/>
  <c r="J9" i="16"/>
  <c r="AM8" i="15"/>
  <c r="AF12" i="15"/>
  <c r="C10" i="16"/>
  <c r="F9" i="16"/>
  <c r="J8" i="16"/>
  <c r="F8" i="16"/>
  <c r="J7" i="16"/>
  <c r="F7" i="16"/>
  <c r="J4" i="16"/>
  <c r="AI21" i="15"/>
  <c r="M36" i="15" s="1"/>
  <c r="M38" i="15" s="1"/>
  <c r="J6" i="16"/>
  <c r="AG10" i="15"/>
  <c r="AG8" i="15"/>
  <c r="F6" i="16"/>
  <c r="J19" i="16"/>
  <c r="J5" i="16"/>
  <c r="AG9" i="15"/>
  <c r="C4" i="16"/>
  <c r="C6" i="16"/>
  <c r="F5" i="16"/>
  <c r="J18" i="16"/>
  <c r="C19" i="16"/>
  <c r="C5" i="16"/>
  <c r="F19" i="16"/>
  <c r="J17" i="16"/>
  <c r="H32" i="19"/>
  <c r="F18" i="16"/>
  <c r="J16" i="16"/>
  <c r="AE21" i="15"/>
  <c r="M30" i="15" s="1"/>
  <c r="F17" i="16"/>
  <c r="J15" i="16"/>
  <c r="C17" i="16"/>
  <c r="F15" i="16"/>
  <c r="F16" i="16"/>
  <c r="J14" i="16"/>
  <c r="C18" i="16"/>
  <c r="AF16" i="15"/>
  <c r="F14" i="16"/>
  <c r="J13" i="16"/>
  <c r="C14" i="16"/>
  <c r="F13" i="16"/>
  <c r="AG7" i="15"/>
  <c r="AF14" i="15"/>
  <c r="F12" i="16"/>
  <c r="AG6" i="15"/>
  <c r="F4" i="16"/>
  <c r="AM17" i="15"/>
  <c r="AF15" i="15"/>
  <c r="AM16" i="15"/>
  <c r="AM13" i="15"/>
  <c r="AM12" i="15"/>
  <c r="AM11" i="15"/>
  <c r="AF11" i="15"/>
  <c r="C15" i="16"/>
  <c r="AF8" i="15"/>
  <c r="AM6" i="15"/>
  <c r="H19" i="19"/>
  <c r="AF7" i="15"/>
  <c r="C9" i="16"/>
  <c r="AF6" i="15"/>
  <c r="C8" i="16"/>
  <c r="AG16" i="15"/>
  <c r="C7" i="16"/>
  <c r="AG15" i="15"/>
  <c r="AF10" i="15"/>
  <c r="AF9" i="15"/>
  <c r="AG13" i="15"/>
  <c r="AG5" i="15"/>
  <c r="AF5" i="15"/>
  <c r="AG14" i="15"/>
  <c r="C12" i="16"/>
  <c r="AG12" i="15"/>
  <c r="C11" i="16"/>
  <c r="AG11" i="15"/>
  <c r="B25" i="20"/>
  <c r="H24" i="20"/>
  <c r="H30" i="20" s="1"/>
  <c r="H31" i="20" s="1"/>
  <c r="H32" i="20" s="1"/>
  <c r="H33" i="20" s="1"/>
  <c r="H35" i="20" s="1"/>
  <c r="S21" i="15"/>
  <c r="C16" i="16"/>
  <c r="R8" i="15"/>
  <c r="N21" i="15"/>
  <c r="Q21" i="15"/>
  <c r="R9" i="15"/>
  <c r="R17" i="15"/>
  <c r="R6" i="15"/>
  <c r="R12" i="15"/>
  <c r="R7" i="15"/>
  <c r="R13" i="15"/>
  <c r="R20" i="15"/>
  <c r="R18" i="15"/>
  <c r="R19" i="15"/>
  <c r="R10" i="15"/>
  <c r="R15" i="15"/>
  <c r="R11" i="15"/>
  <c r="R16" i="15"/>
  <c r="R5" i="15"/>
  <c r="R14" i="15"/>
  <c r="S23" i="15" l="1"/>
  <c r="M28" i="15" s="1"/>
  <c r="S26" i="15"/>
  <c r="AR14" i="15"/>
  <c r="J28" i="19"/>
  <c r="J85" i="19"/>
  <c r="AP5" i="15"/>
  <c r="AO5" i="15"/>
  <c r="J15" i="19"/>
  <c r="F21" i="16"/>
  <c r="C21" i="16"/>
  <c r="J21" i="16"/>
  <c r="I21" i="23"/>
  <c r="AR10" i="15"/>
  <c r="M9" i="16" s="1"/>
  <c r="AO18" i="15"/>
  <c r="AO10" i="15"/>
  <c r="H39" i="19"/>
  <c r="H40" i="19"/>
  <c r="L18" i="16"/>
  <c r="I67" i="23"/>
  <c r="L6" i="16"/>
  <c r="BF7" i="15"/>
  <c r="BD7" i="15"/>
  <c r="BO7" i="15" s="1"/>
  <c r="BB7" i="15"/>
  <c r="BN7" i="15" s="1"/>
  <c r="AR15" i="15"/>
  <c r="AO19" i="15"/>
  <c r="N18" i="16" s="1"/>
  <c r="L13" i="16"/>
  <c r="AP15" i="15"/>
  <c r="H38" i="19"/>
  <c r="AO14" i="15"/>
  <c r="N13" i="16" s="1"/>
  <c r="L19" i="16"/>
  <c r="AR20" i="15"/>
  <c r="M19" i="16" s="1"/>
  <c r="BB8" i="15"/>
  <c r="BN8" i="15" s="1"/>
  <c r="BF8" i="15"/>
  <c r="BD8" i="15"/>
  <c r="BO8" i="15" s="1"/>
  <c r="BB16" i="15"/>
  <c r="BN16" i="15" s="1"/>
  <c r="BF16" i="15"/>
  <c r="BD16" i="15"/>
  <c r="BO16" i="15" s="1"/>
  <c r="BD12" i="15"/>
  <c r="BO12" i="15" s="1"/>
  <c r="BF12" i="15"/>
  <c r="BN12" i="15"/>
  <c r="AR18" i="15"/>
  <c r="AR7" i="15"/>
  <c r="M6" i="16" s="1"/>
  <c r="BF14" i="15"/>
  <c r="BB14" i="15"/>
  <c r="BN14" i="15" s="1"/>
  <c r="BD14" i="15"/>
  <c r="BO14" i="15" s="1"/>
  <c r="AP9" i="15"/>
  <c r="M8" i="16"/>
  <c r="BD6" i="15"/>
  <c r="BO6" i="15" s="1"/>
  <c r="BF6" i="15"/>
  <c r="BB6" i="15"/>
  <c r="BN6" i="15" s="1"/>
  <c r="BF10" i="15"/>
  <c r="BB10" i="15"/>
  <c r="BN10" i="15" s="1"/>
  <c r="BD10" i="15"/>
  <c r="BO10" i="15" s="1"/>
  <c r="BF11" i="15"/>
  <c r="BD11" i="15"/>
  <c r="BO11" i="15" s="1"/>
  <c r="BN11" i="15"/>
  <c r="BD18" i="15"/>
  <c r="BB18" i="15"/>
  <c r="BF18" i="15"/>
  <c r="BD13" i="15"/>
  <c r="BO13" i="15" s="1"/>
  <c r="BF13" i="15"/>
  <c r="BB13" i="15"/>
  <c r="BB9" i="15"/>
  <c r="BN9" i="15" s="1"/>
  <c r="BD9" i="15"/>
  <c r="BO9" i="15" s="1"/>
  <c r="BF9" i="15"/>
  <c r="L17" i="16"/>
  <c r="AR19" i="15"/>
  <c r="M18" i="16" s="1"/>
  <c r="N14" i="16"/>
  <c r="BD20" i="15"/>
  <c r="BO20" i="15" s="1"/>
  <c r="BF20" i="15"/>
  <c r="BB20" i="15"/>
  <c r="BF19" i="15"/>
  <c r="BD19" i="15"/>
  <c r="BO19" i="15" s="1"/>
  <c r="BB19" i="15"/>
  <c r="AO9" i="15"/>
  <c r="N8" i="16" s="1"/>
  <c r="BF5" i="15"/>
  <c r="BD5" i="15"/>
  <c r="BB5" i="15"/>
  <c r="BN5" i="15" s="1"/>
  <c r="BR21" i="15"/>
  <c r="BD17" i="15"/>
  <c r="BO17" i="15" s="1"/>
  <c r="BF17" i="15"/>
  <c r="BB17" i="15"/>
  <c r="AO7" i="15"/>
  <c r="BB15" i="15"/>
  <c r="BN15" i="15" s="1"/>
  <c r="BF15" i="15"/>
  <c r="BD15" i="15"/>
  <c r="BO15" i="15" s="1"/>
  <c r="H23" i="19"/>
  <c r="AO20" i="15"/>
  <c r="AP13" i="15"/>
  <c r="AR13" i="15"/>
  <c r="AO13" i="15"/>
  <c r="G12" i="16"/>
  <c r="G15" i="16"/>
  <c r="AP12" i="15"/>
  <c r="AR12" i="15"/>
  <c r="AO12" i="15"/>
  <c r="G6" i="16"/>
  <c r="N9" i="16"/>
  <c r="G13" i="16"/>
  <c r="G7" i="16"/>
  <c r="AP11" i="15"/>
  <c r="J40" i="19" s="1"/>
  <c r="AR11" i="15"/>
  <c r="AO11" i="15"/>
  <c r="AP16" i="15"/>
  <c r="AR16" i="15"/>
  <c r="AO16" i="15"/>
  <c r="G8" i="16"/>
  <c r="M13" i="16"/>
  <c r="G11" i="16"/>
  <c r="AP6" i="15"/>
  <c r="AO6" i="15"/>
  <c r="AR6" i="15"/>
  <c r="AP8" i="15"/>
  <c r="AO8" i="15"/>
  <c r="AR8" i="15"/>
  <c r="G14" i="16"/>
  <c r="G10" i="16"/>
  <c r="AG21" i="15"/>
  <c r="M31" i="15" s="1"/>
  <c r="G5" i="16"/>
  <c r="G9" i="16"/>
  <c r="N17" i="16"/>
  <c r="AR17" i="15"/>
  <c r="AP17" i="15"/>
  <c r="AO17" i="15"/>
  <c r="G4" i="16"/>
  <c r="R21" i="15"/>
  <c r="BO18" i="15" l="1"/>
  <c r="J39" i="19"/>
  <c r="J38" i="19"/>
  <c r="G21" i="16"/>
  <c r="I69" i="23"/>
  <c r="L8" i="16"/>
  <c r="M14" i="16"/>
  <c r="N6" i="16"/>
  <c r="BP15" i="15"/>
  <c r="BQ15" i="15" s="1"/>
  <c r="M17" i="16"/>
  <c r="BP9" i="15"/>
  <c r="BQ9" i="15" s="1"/>
  <c r="BP10" i="15"/>
  <c r="BQ10" i="15" s="1"/>
  <c r="BP18" i="15"/>
  <c r="BN20" i="15"/>
  <c r="BP17" i="15"/>
  <c r="BP12" i="15"/>
  <c r="BQ12" i="15" s="1"/>
  <c r="N19" i="16"/>
  <c r="BP16" i="15"/>
  <c r="BQ16" i="15" s="1"/>
  <c r="BP14" i="15"/>
  <c r="BQ14" i="15" s="1"/>
  <c r="BP20" i="15"/>
  <c r="BP11" i="15"/>
  <c r="BQ11" i="15" s="1"/>
  <c r="BP6" i="15"/>
  <c r="BQ6" i="15" s="1"/>
  <c r="BN18" i="15"/>
  <c r="BN17" i="15"/>
  <c r="L14" i="16"/>
  <c r="BP7" i="15"/>
  <c r="BQ7" i="15" s="1"/>
  <c r="BP13" i="15"/>
  <c r="BQ13" i="15" s="1"/>
  <c r="BP8" i="15"/>
  <c r="BQ8" i="15" s="1"/>
  <c r="BP19" i="15"/>
  <c r="BN19" i="15"/>
  <c r="M10" i="16"/>
  <c r="N15" i="16"/>
  <c r="N11" i="16"/>
  <c r="M11" i="16"/>
  <c r="L15" i="16"/>
  <c r="L11" i="16"/>
  <c r="N12" i="16"/>
  <c r="L10" i="16"/>
  <c r="N5" i="16"/>
  <c r="M15" i="16"/>
  <c r="AP21" i="15"/>
  <c r="M32" i="15" s="1"/>
  <c r="L4" i="16"/>
  <c r="M12" i="16"/>
  <c r="AO21" i="15"/>
  <c r="M47" i="15" s="1"/>
  <c r="N4" i="16"/>
  <c r="L12" i="16"/>
  <c r="AR21" i="15"/>
  <c r="M33" i="15" s="1"/>
  <c r="M4" i="16"/>
  <c r="M5" i="16"/>
  <c r="L5" i="16"/>
  <c r="M7" i="16"/>
  <c r="N7" i="16"/>
  <c r="L7" i="16"/>
  <c r="N10" i="16"/>
  <c r="N16" i="16"/>
  <c r="L16" i="16"/>
  <c r="M16" i="16"/>
  <c r="M21" i="16" l="1"/>
  <c r="N21" i="16"/>
  <c r="L21" i="16"/>
  <c r="J42" i="19"/>
  <c r="BQ20" i="15"/>
  <c r="BQ18" i="15"/>
  <c r="BQ19" i="15"/>
  <c r="BQ17" i="15"/>
  <c r="K17" i="10" l="1"/>
  <c r="H33" i="7"/>
  <c r="E26" i="4"/>
  <c r="G18" i="4" l="1"/>
  <c r="F18" i="4"/>
  <c r="D18" i="4"/>
  <c r="C18" i="4"/>
  <c r="D216" i="14" l="1"/>
  <c r="D215" i="14"/>
  <c r="D217" i="14" s="1"/>
  <c r="H16" i="7" s="1"/>
  <c r="H31" i="7" s="1"/>
  <c r="Z188" i="14"/>
  <c r="AA188" i="14" s="1"/>
  <c r="D208" i="14" s="1"/>
  <c r="H8" i="4" l="1"/>
  <c r="J8" i="4" s="1"/>
  <c r="E36" i="4"/>
  <c r="I8" i="4" l="1"/>
  <c r="F17" i="8"/>
  <c r="F42" i="8"/>
  <c r="D42" i="8"/>
  <c r="H35" i="7" l="1"/>
  <c r="H32" i="7"/>
  <c r="H36" i="7"/>
  <c r="H34" i="7"/>
  <c r="H37" i="7" l="1"/>
  <c r="H38" i="7" s="1"/>
  <c r="H39" i="7" l="1"/>
  <c r="H40" i="7" s="1"/>
  <c r="H42" i="7" s="1"/>
  <c r="BB203" i="14"/>
  <c r="AY203" i="14"/>
  <c r="AU203" i="14"/>
  <c r="AT203" i="14"/>
  <c r="AS203" i="14"/>
  <c r="AQ203" i="14"/>
  <c r="AP203" i="14"/>
  <c r="AM203" i="14"/>
  <c r="AL203" i="14"/>
  <c r="AK203" i="14"/>
  <c r="AH203" i="14"/>
  <c r="AG203" i="14"/>
  <c r="AB203" i="14"/>
  <c r="O203" i="14"/>
  <c r="M203" i="14"/>
  <c r="L203" i="14"/>
  <c r="K203" i="14"/>
  <c r="J203" i="14"/>
  <c r="I203" i="14"/>
  <c r="H203" i="14"/>
  <c r="F203" i="14"/>
  <c r="E203" i="14"/>
  <c r="BS202" i="14"/>
  <c r="BR202" i="14"/>
  <c r="BQ202" i="14"/>
  <c r="BP202" i="14"/>
  <c r="BO202" i="14"/>
  <c r="BN202" i="14"/>
  <c r="BM202" i="14"/>
  <c r="BL202" i="14"/>
  <c r="BK202" i="14"/>
  <c r="BJ202" i="14"/>
  <c r="BI202" i="14"/>
  <c r="BH202" i="14"/>
  <c r="BF202" i="14"/>
  <c r="BE202" i="14"/>
  <c r="BD202" i="14"/>
  <c r="BC202" i="14"/>
  <c r="AA202" i="14"/>
  <c r="BG202" i="14" s="1"/>
  <c r="N202" i="14"/>
  <c r="BS201" i="14"/>
  <c r="BR201" i="14"/>
  <c r="BQ201" i="14"/>
  <c r="BP201" i="14"/>
  <c r="BN201" i="14"/>
  <c r="BM201" i="14"/>
  <c r="BL201" i="14"/>
  <c r="BK201" i="14"/>
  <c r="BJ201" i="14"/>
  <c r="BI201" i="14"/>
  <c r="BH201" i="14"/>
  <c r="BF201" i="14"/>
  <c r="BE201" i="14"/>
  <c r="BC201" i="14"/>
  <c r="BO201" i="14"/>
  <c r="Z201" i="14"/>
  <c r="AA201" i="14" s="1"/>
  <c r="BG201" i="14" s="1"/>
  <c r="N201" i="14"/>
  <c r="BS200" i="14"/>
  <c r="BR200" i="14"/>
  <c r="BQ200" i="14"/>
  <c r="BP200" i="14"/>
  <c r="BN200" i="14"/>
  <c r="BM200" i="14"/>
  <c r="BL200" i="14"/>
  <c r="BK200" i="14"/>
  <c r="BJ200" i="14"/>
  <c r="BI200" i="14"/>
  <c r="BH200" i="14"/>
  <c r="BF200" i="14"/>
  <c r="BE200" i="14"/>
  <c r="BC200" i="14"/>
  <c r="BO200" i="14"/>
  <c r="Z200" i="14"/>
  <c r="AA200" i="14" s="1"/>
  <c r="BG200" i="14" s="1"/>
  <c r="N200" i="14"/>
  <c r="BS199" i="14"/>
  <c r="BR199" i="14"/>
  <c r="BQ199" i="14"/>
  <c r="BP199" i="14"/>
  <c r="BN199" i="14"/>
  <c r="BM199" i="14"/>
  <c r="BL199" i="14"/>
  <c r="BK199" i="14"/>
  <c r="BJ199" i="14"/>
  <c r="BI199" i="14"/>
  <c r="BH199" i="14"/>
  <c r="BF199" i="14"/>
  <c r="BE199" i="14"/>
  <c r="BC199" i="14"/>
  <c r="BO199" i="14"/>
  <c r="Z199" i="14"/>
  <c r="BD199" i="14" s="1"/>
  <c r="N199" i="14"/>
  <c r="BS198" i="14"/>
  <c r="BR198" i="14"/>
  <c r="BQ198" i="14"/>
  <c r="BP198" i="14"/>
  <c r="BN198" i="14"/>
  <c r="BM198" i="14"/>
  <c r="BL198" i="14"/>
  <c r="BK198" i="14"/>
  <c r="BJ198" i="14"/>
  <c r="BI198" i="14"/>
  <c r="BH198" i="14"/>
  <c r="BF198" i="14"/>
  <c r="BE198" i="14"/>
  <c r="BC198" i="14"/>
  <c r="BO198" i="14"/>
  <c r="Z198" i="14"/>
  <c r="AA198" i="14" s="1"/>
  <c r="BG198" i="14" s="1"/>
  <c r="N198" i="14"/>
  <c r="BS197" i="14"/>
  <c r="BR197" i="14"/>
  <c r="BQ197" i="14"/>
  <c r="BP197" i="14"/>
  <c r="BN197" i="14"/>
  <c r="BM197" i="14"/>
  <c r="BL197" i="14"/>
  <c r="BK197" i="14"/>
  <c r="BJ197" i="14"/>
  <c r="BI197" i="14"/>
  <c r="BH197" i="14"/>
  <c r="BF197" i="14"/>
  <c r="BE197" i="14"/>
  <c r="BC197" i="14"/>
  <c r="Z197" i="14"/>
  <c r="BD197" i="14" s="1"/>
  <c r="N197" i="14"/>
  <c r="BS196" i="14"/>
  <c r="BR196" i="14"/>
  <c r="BQ196" i="14"/>
  <c r="BP196" i="14"/>
  <c r="BO196" i="14"/>
  <c r="BN196" i="14"/>
  <c r="BM196" i="14"/>
  <c r="BL196" i="14"/>
  <c r="BK196" i="14"/>
  <c r="BJ196" i="14"/>
  <c r="BI196" i="14"/>
  <c r="BH196" i="14"/>
  <c r="BF196" i="14"/>
  <c r="BE196" i="14"/>
  <c r="BC196" i="14"/>
  <c r="Z196" i="14"/>
  <c r="BD196" i="14" s="1"/>
  <c r="BS195" i="14"/>
  <c r="BR195" i="14"/>
  <c r="BQ195" i="14"/>
  <c r="BP195" i="14"/>
  <c r="BO195" i="14"/>
  <c r="BN195" i="14"/>
  <c r="BM195" i="14"/>
  <c r="BL195" i="14"/>
  <c r="BK195" i="14"/>
  <c r="BJ195" i="14"/>
  <c r="BI195" i="14"/>
  <c r="BH195" i="14"/>
  <c r="BF195" i="14"/>
  <c r="BE195" i="14"/>
  <c r="BC195" i="14"/>
  <c r="Z195" i="14"/>
  <c r="BD195" i="14" s="1"/>
  <c r="BS194" i="14"/>
  <c r="BR194" i="14"/>
  <c r="BQ194" i="14"/>
  <c r="BP194" i="14"/>
  <c r="BO194" i="14"/>
  <c r="BN194" i="14"/>
  <c r="BM194" i="14"/>
  <c r="BL194" i="14"/>
  <c r="BK194" i="14"/>
  <c r="BJ194" i="14"/>
  <c r="BI194" i="14"/>
  <c r="BH194" i="14"/>
  <c r="BF194" i="14"/>
  <c r="BE194" i="14"/>
  <c r="BC194" i="14"/>
  <c r="Z194" i="14"/>
  <c r="BD194" i="14" s="1"/>
  <c r="N194" i="14"/>
  <c r="BS193" i="14"/>
  <c r="BR193" i="14"/>
  <c r="BQ193" i="14"/>
  <c r="BP193" i="14"/>
  <c r="BO193" i="14"/>
  <c r="BN193" i="14"/>
  <c r="BM193" i="14"/>
  <c r="BL193" i="14"/>
  <c r="BK193" i="14"/>
  <c r="BJ193" i="14"/>
  <c r="BI193" i="14"/>
  <c r="BH193" i="14"/>
  <c r="BF193" i="14"/>
  <c r="BE193" i="14"/>
  <c r="BC193" i="14"/>
  <c r="Z193" i="14"/>
  <c r="BD193" i="14" s="1"/>
  <c r="N193" i="14"/>
  <c r="BS192" i="14"/>
  <c r="BR192" i="14"/>
  <c r="BQ192" i="14"/>
  <c r="BP192" i="14"/>
  <c r="BO192" i="14"/>
  <c r="BN192" i="14"/>
  <c r="BM192" i="14"/>
  <c r="BL192" i="14"/>
  <c r="BK192" i="14"/>
  <c r="BJ192" i="14"/>
  <c r="BI192" i="14"/>
  <c r="BH192" i="14"/>
  <c r="BF192" i="14"/>
  <c r="BE192" i="14"/>
  <c r="BC192" i="14"/>
  <c r="Z192" i="14"/>
  <c r="AA192" i="14" s="1"/>
  <c r="D211" i="14" s="1"/>
  <c r="N192" i="14"/>
  <c r="BS191" i="14"/>
  <c r="BR191" i="14"/>
  <c r="BQ191" i="14"/>
  <c r="BP191" i="14"/>
  <c r="BO191" i="14"/>
  <c r="BN191" i="14"/>
  <c r="BM191" i="14"/>
  <c r="BL191" i="14"/>
  <c r="BK191" i="14"/>
  <c r="BJ191" i="14"/>
  <c r="BI191" i="14"/>
  <c r="BH191" i="14"/>
  <c r="BF191" i="14"/>
  <c r="BE191" i="14"/>
  <c r="BC191" i="14"/>
  <c r="Z191" i="14"/>
  <c r="BD191" i="14" s="1"/>
  <c r="N191" i="14"/>
  <c r="BS190" i="14"/>
  <c r="BR190" i="14"/>
  <c r="BQ190" i="14"/>
  <c r="BP190" i="14"/>
  <c r="BO190" i="14"/>
  <c r="BN190" i="14"/>
  <c r="BM190" i="14"/>
  <c r="BL190" i="14"/>
  <c r="BK190" i="14"/>
  <c r="BJ190" i="14"/>
  <c r="BI190" i="14"/>
  <c r="BH190" i="14"/>
  <c r="BF190" i="14"/>
  <c r="BE190" i="14"/>
  <c r="BC190" i="14"/>
  <c r="Z190" i="14"/>
  <c r="BD190" i="14" s="1"/>
  <c r="N190" i="14"/>
  <c r="BS189" i="14"/>
  <c r="BR189" i="14"/>
  <c r="BQ189" i="14"/>
  <c r="BP189" i="14"/>
  <c r="BO189" i="14"/>
  <c r="BN189" i="14"/>
  <c r="BM189" i="14"/>
  <c r="BL189" i="14"/>
  <c r="BK189" i="14"/>
  <c r="BJ189" i="14"/>
  <c r="BI189" i="14"/>
  <c r="BH189" i="14"/>
  <c r="BF189" i="14"/>
  <c r="BE189" i="14"/>
  <c r="BC189" i="14"/>
  <c r="Z189" i="14"/>
  <c r="BD189" i="14" s="1"/>
  <c r="N189" i="14"/>
  <c r="BS188" i="14"/>
  <c r="BR188" i="14"/>
  <c r="BQ188" i="14"/>
  <c r="BP188" i="14"/>
  <c r="BO188" i="14"/>
  <c r="BN188" i="14"/>
  <c r="BM188" i="14"/>
  <c r="BL188" i="14"/>
  <c r="BK188" i="14"/>
  <c r="BJ188" i="14"/>
  <c r="BI188" i="14"/>
  <c r="BH188" i="14"/>
  <c r="BG188" i="14"/>
  <c r="BF188" i="14"/>
  <c r="BE188" i="14"/>
  <c r="BD188" i="14"/>
  <c r="BC188" i="14"/>
  <c r="N188" i="14"/>
  <c r="BS187" i="14"/>
  <c r="BR187" i="14"/>
  <c r="BQ187" i="14"/>
  <c r="BP187" i="14"/>
  <c r="BO187" i="14"/>
  <c r="BN187" i="14"/>
  <c r="BM187" i="14"/>
  <c r="BL187" i="14"/>
  <c r="BK187" i="14"/>
  <c r="BJ187" i="14"/>
  <c r="BI187" i="14"/>
  <c r="BH187" i="14"/>
  <c r="BF187" i="14"/>
  <c r="BE187" i="14"/>
  <c r="BC187" i="14"/>
  <c r="Z187" i="14"/>
  <c r="BD187" i="14" s="1"/>
  <c r="N187" i="14"/>
  <c r="BS186" i="14"/>
  <c r="BR186" i="14"/>
  <c r="BQ186" i="14"/>
  <c r="BP186" i="14"/>
  <c r="BO186" i="14"/>
  <c r="BN186" i="14"/>
  <c r="BM186" i="14"/>
  <c r="BL186" i="14"/>
  <c r="BK186" i="14"/>
  <c r="BJ186" i="14"/>
  <c r="BI186" i="14"/>
  <c r="BH186" i="14"/>
  <c r="BF186" i="14"/>
  <c r="BE186" i="14"/>
  <c r="BC186" i="14"/>
  <c r="Z186" i="14"/>
  <c r="BD186" i="14" s="1"/>
  <c r="N186" i="14"/>
  <c r="BS185" i="14"/>
  <c r="BR185" i="14"/>
  <c r="BQ185" i="14"/>
  <c r="BP185" i="14"/>
  <c r="BO185" i="14"/>
  <c r="BN185" i="14"/>
  <c r="BM185" i="14"/>
  <c r="BL185" i="14"/>
  <c r="BK185" i="14"/>
  <c r="BJ185" i="14"/>
  <c r="BJ204" i="14" s="1"/>
  <c r="BI185" i="14"/>
  <c r="BH185" i="14"/>
  <c r="BF185" i="14"/>
  <c r="BE185" i="14"/>
  <c r="BC185" i="14"/>
  <c r="Z185" i="14"/>
  <c r="BD185" i="14" s="1"/>
  <c r="N185" i="14"/>
  <c r="BS184" i="14"/>
  <c r="BR184" i="14"/>
  <c r="BQ184" i="14"/>
  <c r="BP184" i="14"/>
  <c r="BO184" i="14"/>
  <c r="BN184" i="14"/>
  <c r="BM184" i="14"/>
  <c r="BL184" i="14"/>
  <c r="BK184" i="14"/>
  <c r="BJ184" i="14"/>
  <c r="BI184" i="14"/>
  <c r="BH184" i="14"/>
  <c r="BF184" i="14"/>
  <c r="BE184" i="14"/>
  <c r="BD184" i="14"/>
  <c r="BC184" i="14"/>
  <c r="AA184" i="14"/>
  <c r="BG184" i="14" s="1"/>
  <c r="N184" i="14"/>
  <c r="BS183" i="14"/>
  <c r="BR183" i="14"/>
  <c r="BQ183" i="14"/>
  <c r="BP183" i="14"/>
  <c r="BO183" i="14"/>
  <c r="BN183" i="14"/>
  <c r="BM183" i="14"/>
  <c r="BL183" i="14"/>
  <c r="BK183" i="14"/>
  <c r="BJ183" i="14"/>
  <c r="BI183" i="14"/>
  <c r="BH183" i="14"/>
  <c r="BF183" i="14"/>
  <c r="BE183" i="14"/>
  <c r="BD183" i="14"/>
  <c r="BC183" i="14"/>
  <c r="AA183" i="14"/>
  <c r="BG183" i="14" s="1"/>
  <c r="N183" i="14"/>
  <c r="BS182" i="14"/>
  <c r="BR182" i="14"/>
  <c r="BQ182" i="14"/>
  <c r="BP182" i="14"/>
  <c r="BO182" i="14"/>
  <c r="BN182" i="14"/>
  <c r="BM182" i="14"/>
  <c r="BL182" i="14"/>
  <c r="BK182" i="14"/>
  <c r="BJ182" i="14"/>
  <c r="BI182" i="14"/>
  <c r="BH182" i="14"/>
  <c r="BF182" i="14"/>
  <c r="BE182" i="14"/>
  <c r="BD182" i="14"/>
  <c r="BC182" i="14"/>
  <c r="AA182" i="14"/>
  <c r="BG182" i="14" s="1"/>
  <c r="N182" i="14"/>
  <c r="BS181" i="14"/>
  <c r="BR181" i="14"/>
  <c r="BQ181" i="14"/>
  <c r="BP181" i="14"/>
  <c r="BO181" i="14"/>
  <c r="BN181" i="14"/>
  <c r="BM181" i="14"/>
  <c r="BL181" i="14"/>
  <c r="BK181" i="14"/>
  <c r="BJ181" i="14"/>
  <c r="BI181" i="14"/>
  <c r="BH181" i="14"/>
  <c r="BF181" i="14"/>
  <c r="BE181" i="14"/>
  <c r="BD181" i="14"/>
  <c r="BC181" i="14"/>
  <c r="AA181" i="14"/>
  <c r="BG181" i="14" s="1"/>
  <c r="N181" i="14"/>
  <c r="BS180" i="14"/>
  <c r="BR180" i="14"/>
  <c r="BQ180" i="14"/>
  <c r="BP180" i="14"/>
  <c r="BO180" i="14"/>
  <c r="BN180" i="14"/>
  <c r="BM180" i="14"/>
  <c r="BL180" i="14"/>
  <c r="BK180" i="14"/>
  <c r="BJ180" i="14"/>
  <c r="BI180" i="14"/>
  <c r="BH180" i="14"/>
  <c r="BF180" i="14"/>
  <c r="BE180" i="14"/>
  <c r="BD180" i="14"/>
  <c r="BC180" i="14"/>
  <c r="AA180" i="14"/>
  <c r="BG180" i="14" s="1"/>
  <c r="N180" i="14"/>
  <c r="BS179" i="14"/>
  <c r="BR179" i="14"/>
  <c r="BQ179" i="14"/>
  <c r="BP179" i="14"/>
  <c r="BO179" i="14"/>
  <c r="BN179" i="14"/>
  <c r="BM179" i="14"/>
  <c r="BL179" i="14"/>
  <c r="BK179" i="14"/>
  <c r="BJ179" i="14"/>
  <c r="BI179" i="14"/>
  <c r="BH179" i="14"/>
  <c r="BF179" i="14"/>
  <c r="BE179" i="14"/>
  <c r="BD179" i="14"/>
  <c r="BC179" i="14"/>
  <c r="AA179" i="14"/>
  <c r="BG179" i="14" s="1"/>
  <c r="N179" i="14"/>
  <c r="BS178" i="14"/>
  <c r="BR178" i="14"/>
  <c r="BQ178" i="14"/>
  <c r="BP178" i="14"/>
  <c r="BO178" i="14"/>
  <c r="BN178" i="14"/>
  <c r="BM178" i="14"/>
  <c r="BL178" i="14"/>
  <c r="BK178" i="14"/>
  <c r="BJ178" i="14"/>
  <c r="BI178" i="14"/>
  <c r="BH178" i="14"/>
  <c r="BF178" i="14"/>
  <c r="BE178" i="14"/>
  <c r="BD178" i="14"/>
  <c r="BC178" i="14"/>
  <c r="AA178" i="14"/>
  <c r="BG178" i="14" s="1"/>
  <c r="N178" i="14"/>
  <c r="BS177" i="14"/>
  <c r="BR177" i="14"/>
  <c r="BQ177" i="14"/>
  <c r="BP177" i="14"/>
  <c r="BO177" i="14"/>
  <c r="BN177" i="14"/>
  <c r="BM177" i="14"/>
  <c r="BL177" i="14"/>
  <c r="BK177" i="14"/>
  <c r="BJ177" i="14"/>
  <c r="BI177" i="14"/>
  <c r="BH177" i="14"/>
  <c r="BF177" i="14"/>
  <c r="BE177" i="14"/>
  <c r="BD177" i="14"/>
  <c r="BC177" i="14"/>
  <c r="AA177" i="14"/>
  <c r="BG177" i="14" s="1"/>
  <c r="N177" i="14"/>
  <c r="BS176" i="14"/>
  <c r="BR176" i="14"/>
  <c r="BQ176" i="14"/>
  <c r="BP176" i="14"/>
  <c r="BO176" i="14"/>
  <c r="BN176" i="14"/>
  <c r="BM176" i="14"/>
  <c r="BL176" i="14"/>
  <c r="BK176" i="14"/>
  <c r="BJ176" i="14"/>
  <c r="BI176" i="14"/>
  <c r="BH176" i="14"/>
  <c r="BF176" i="14"/>
  <c r="BE176" i="14"/>
  <c r="BD176" i="14"/>
  <c r="BC176" i="14"/>
  <c r="AA176" i="14"/>
  <c r="BG176" i="14" s="1"/>
  <c r="N176" i="14"/>
  <c r="BS175" i="14"/>
  <c r="BR175" i="14"/>
  <c r="BQ175" i="14"/>
  <c r="BP175" i="14"/>
  <c r="BO175" i="14"/>
  <c r="BN175" i="14"/>
  <c r="BM175" i="14"/>
  <c r="BL175" i="14"/>
  <c r="BK175" i="14"/>
  <c r="BJ175" i="14"/>
  <c r="BI175" i="14"/>
  <c r="BH175" i="14"/>
  <c r="BF175" i="14"/>
  <c r="BE175" i="14"/>
  <c r="BD175" i="14"/>
  <c r="BC175" i="14"/>
  <c r="AA175" i="14"/>
  <c r="BG175" i="14" s="1"/>
  <c r="N175" i="14"/>
  <c r="BS174" i="14"/>
  <c r="BR174" i="14"/>
  <c r="BQ174" i="14"/>
  <c r="BP174" i="14"/>
  <c r="BO174" i="14"/>
  <c r="BN174" i="14"/>
  <c r="BM174" i="14"/>
  <c r="BL174" i="14"/>
  <c r="BK174" i="14"/>
  <c r="BJ174" i="14"/>
  <c r="BI174" i="14"/>
  <c r="BH174" i="14"/>
  <c r="BF174" i="14"/>
  <c r="BE174" i="14"/>
  <c r="BD174" i="14"/>
  <c r="BC174" i="14"/>
  <c r="AA174" i="14"/>
  <c r="BG174" i="14" s="1"/>
  <c r="N174" i="14"/>
  <c r="BS173" i="14"/>
  <c r="BR173" i="14"/>
  <c r="BQ173" i="14"/>
  <c r="BP173" i="14"/>
  <c r="BO173" i="14"/>
  <c r="BN173" i="14"/>
  <c r="BM173" i="14"/>
  <c r="BL173" i="14"/>
  <c r="BK173" i="14"/>
  <c r="BJ173" i="14"/>
  <c r="BI173" i="14"/>
  <c r="BH173" i="14"/>
  <c r="BF173" i="14"/>
  <c r="BE173" i="14"/>
  <c r="BD173" i="14"/>
  <c r="BC173" i="14"/>
  <c r="AA173" i="14"/>
  <c r="BG173" i="14" s="1"/>
  <c r="N173" i="14"/>
  <c r="BS172" i="14"/>
  <c r="BR172" i="14"/>
  <c r="BQ172" i="14"/>
  <c r="BP172" i="14"/>
  <c r="BO172" i="14"/>
  <c r="BN172" i="14"/>
  <c r="BM172" i="14"/>
  <c r="BL172" i="14"/>
  <c r="BK172" i="14"/>
  <c r="BJ172" i="14"/>
  <c r="BI172" i="14"/>
  <c r="BH172" i="14"/>
  <c r="BF172" i="14"/>
  <c r="BE172" i="14"/>
  <c r="BD172" i="14"/>
  <c r="BC172" i="14"/>
  <c r="AA172" i="14"/>
  <c r="BG172" i="14" s="1"/>
  <c r="N172" i="14"/>
  <c r="BS171" i="14"/>
  <c r="BR171" i="14"/>
  <c r="BQ171" i="14"/>
  <c r="BP171" i="14"/>
  <c r="BO171" i="14"/>
  <c r="BN171" i="14"/>
  <c r="BM171" i="14"/>
  <c r="BL171" i="14"/>
  <c r="BK171" i="14"/>
  <c r="BJ171" i="14"/>
  <c r="BI171" i="14"/>
  <c r="BH171" i="14"/>
  <c r="BF171" i="14"/>
  <c r="BE171" i="14"/>
  <c r="BD171" i="14"/>
  <c r="BC171" i="14"/>
  <c r="AA171" i="14"/>
  <c r="BG171" i="14" s="1"/>
  <c r="N171" i="14"/>
  <c r="BS170" i="14"/>
  <c r="BR170" i="14"/>
  <c r="BQ170" i="14"/>
  <c r="BP170" i="14"/>
  <c r="BO170" i="14"/>
  <c r="BN170" i="14"/>
  <c r="BM170" i="14"/>
  <c r="BL170" i="14"/>
  <c r="BK170" i="14"/>
  <c r="BJ170" i="14"/>
  <c r="BI170" i="14"/>
  <c r="BH170" i="14"/>
  <c r="BF170" i="14"/>
  <c r="BE170" i="14"/>
  <c r="BD170" i="14"/>
  <c r="BC170" i="14"/>
  <c r="AA170" i="14"/>
  <c r="BG170" i="14" s="1"/>
  <c r="N170" i="14"/>
  <c r="BS169" i="14"/>
  <c r="BR169" i="14"/>
  <c r="BQ169" i="14"/>
  <c r="BP169" i="14"/>
  <c r="BO169" i="14"/>
  <c r="BN169" i="14"/>
  <c r="BM169" i="14"/>
  <c r="BL169" i="14"/>
  <c r="BK169" i="14"/>
  <c r="BJ169" i="14"/>
  <c r="BI169" i="14"/>
  <c r="BH169" i="14"/>
  <c r="BF169" i="14"/>
  <c r="BE169" i="14"/>
  <c r="BD169" i="14"/>
  <c r="BC169" i="14"/>
  <c r="AA169" i="14"/>
  <c r="BG169" i="14" s="1"/>
  <c r="N169" i="14"/>
  <c r="BS168" i="14"/>
  <c r="BR168" i="14"/>
  <c r="BQ168" i="14"/>
  <c r="BP168" i="14"/>
  <c r="BO168" i="14"/>
  <c r="BN168" i="14"/>
  <c r="BM168" i="14"/>
  <c r="BL168" i="14"/>
  <c r="BK168" i="14"/>
  <c r="BJ168" i="14"/>
  <c r="BI168" i="14"/>
  <c r="BH168" i="14"/>
  <c r="BF168" i="14"/>
  <c r="BE168" i="14"/>
  <c r="BD168" i="14"/>
  <c r="BC168" i="14"/>
  <c r="AA168" i="14"/>
  <c r="BG168" i="14" s="1"/>
  <c r="N168" i="14"/>
  <c r="BS167" i="14"/>
  <c r="BR167" i="14"/>
  <c r="BQ167" i="14"/>
  <c r="BP167" i="14"/>
  <c r="BO167" i="14"/>
  <c r="BN167" i="14"/>
  <c r="BM167" i="14"/>
  <c r="BL167" i="14"/>
  <c r="BK167" i="14"/>
  <c r="BJ167" i="14"/>
  <c r="BI167" i="14"/>
  <c r="BH167" i="14"/>
  <c r="BF167" i="14"/>
  <c r="BE167" i="14"/>
  <c r="BD167" i="14"/>
  <c r="BC167" i="14"/>
  <c r="AA167" i="14"/>
  <c r="BG167" i="14" s="1"/>
  <c r="N167" i="14"/>
  <c r="BS166" i="14"/>
  <c r="BR166" i="14"/>
  <c r="BQ166" i="14"/>
  <c r="BP166" i="14"/>
  <c r="BO166" i="14"/>
  <c r="BN166" i="14"/>
  <c r="BM166" i="14"/>
  <c r="BL166" i="14"/>
  <c r="BK166" i="14"/>
  <c r="BJ166" i="14"/>
  <c r="BI166" i="14"/>
  <c r="BH166" i="14"/>
  <c r="BF166" i="14"/>
  <c r="BE166" i="14"/>
  <c r="BD166" i="14"/>
  <c r="BC166" i="14"/>
  <c r="AA166" i="14"/>
  <c r="BG166" i="14" s="1"/>
  <c r="N166" i="14"/>
  <c r="BS165" i="14"/>
  <c r="BR165" i="14"/>
  <c r="BQ165" i="14"/>
  <c r="BP165" i="14"/>
  <c r="BO165" i="14"/>
  <c r="BN165" i="14"/>
  <c r="BM165" i="14"/>
  <c r="BL165" i="14"/>
  <c r="BK165" i="14"/>
  <c r="BJ165" i="14"/>
  <c r="BI165" i="14"/>
  <c r="BH165" i="14"/>
  <c r="BF165" i="14"/>
  <c r="BE165" i="14"/>
  <c r="BD165" i="14"/>
  <c r="BC165" i="14"/>
  <c r="AA165" i="14"/>
  <c r="BG165" i="14" s="1"/>
  <c r="N165" i="14"/>
  <c r="BS164" i="14"/>
  <c r="BR164" i="14"/>
  <c r="BQ164" i="14"/>
  <c r="BP164" i="14"/>
  <c r="BO164" i="14"/>
  <c r="BN164" i="14"/>
  <c r="BM164" i="14"/>
  <c r="BL164" i="14"/>
  <c r="BK164" i="14"/>
  <c r="BJ164" i="14"/>
  <c r="BI164" i="14"/>
  <c r="BH164" i="14"/>
  <c r="BF164" i="14"/>
  <c r="BE164" i="14"/>
  <c r="BD164" i="14"/>
  <c r="BC164" i="14"/>
  <c r="AA164" i="14"/>
  <c r="BG164" i="14" s="1"/>
  <c r="N164" i="14"/>
  <c r="BS163" i="14"/>
  <c r="BR163" i="14"/>
  <c r="BQ163" i="14"/>
  <c r="BP163" i="14"/>
  <c r="BO163" i="14"/>
  <c r="BN163" i="14"/>
  <c r="BM163" i="14"/>
  <c r="BL163" i="14"/>
  <c r="BK163" i="14"/>
  <c r="BJ163" i="14"/>
  <c r="BI163" i="14"/>
  <c r="BH163" i="14"/>
  <c r="BF163" i="14"/>
  <c r="BE163" i="14"/>
  <c r="BD163" i="14"/>
  <c r="BC163" i="14"/>
  <c r="AA163" i="14"/>
  <c r="BG163" i="14" s="1"/>
  <c r="N163" i="14"/>
  <c r="BS162" i="14"/>
  <c r="BR162" i="14"/>
  <c r="BQ162" i="14"/>
  <c r="BP162" i="14"/>
  <c r="BO162" i="14"/>
  <c r="BN162" i="14"/>
  <c r="BM162" i="14"/>
  <c r="BL162" i="14"/>
  <c r="BK162" i="14"/>
  <c r="BJ162" i="14"/>
  <c r="BI162" i="14"/>
  <c r="BH162" i="14"/>
  <c r="BF162" i="14"/>
  <c r="BE162" i="14"/>
  <c r="BD162" i="14"/>
  <c r="BC162" i="14"/>
  <c r="AA162" i="14"/>
  <c r="BG162" i="14" s="1"/>
  <c r="N162" i="14"/>
  <c r="BS161" i="14"/>
  <c r="BR161" i="14"/>
  <c r="BQ161" i="14"/>
  <c r="BP161" i="14"/>
  <c r="BO161" i="14"/>
  <c r="BN161" i="14"/>
  <c r="BM161" i="14"/>
  <c r="BL161" i="14"/>
  <c r="BK161" i="14"/>
  <c r="BJ161" i="14"/>
  <c r="BI161" i="14"/>
  <c r="BH161" i="14"/>
  <c r="BF161" i="14"/>
  <c r="BE161" i="14"/>
  <c r="BD161" i="14"/>
  <c r="BC161" i="14"/>
  <c r="AA161" i="14"/>
  <c r="BG161" i="14" s="1"/>
  <c r="N161" i="14"/>
  <c r="BS160" i="14"/>
  <c r="BR160" i="14"/>
  <c r="BQ160" i="14"/>
  <c r="BP160" i="14"/>
  <c r="BO160" i="14"/>
  <c r="BN160" i="14"/>
  <c r="BM160" i="14"/>
  <c r="BL160" i="14"/>
  <c r="BK160" i="14"/>
  <c r="BJ160" i="14"/>
  <c r="BI160" i="14"/>
  <c r="BH160" i="14"/>
  <c r="BF160" i="14"/>
  <c r="BE160" i="14"/>
  <c r="BD160" i="14"/>
  <c r="BC160" i="14"/>
  <c r="AA160" i="14"/>
  <c r="BG160" i="14" s="1"/>
  <c r="N160" i="14"/>
  <c r="BS159" i="14"/>
  <c r="BR159" i="14"/>
  <c r="BQ159" i="14"/>
  <c r="BP159" i="14"/>
  <c r="BO159" i="14"/>
  <c r="BN159" i="14"/>
  <c r="BM159" i="14"/>
  <c r="BL159" i="14"/>
  <c r="BK159" i="14"/>
  <c r="BJ159" i="14"/>
  <c r="BI159" i="14"/>
  <c r="BH159" i="14"/>
  <c r="BF159" i="14"/>
  <c r="BE159" i="14"/>
  <c r="BD159" i="14"/>
  <c r="BC159" i="14"/>
  <c r="AA159" i="14"/>
  <c r="BG159" i="14" s="1"/>
  <c r="N159" i="14"/>
  <c r="BS158" i="14"/>
  <c r="BR158" i="14"/>
  <c r="BQ158" i="14"/>
  <c r="BP158" i="14"/>
  <c r="BO158" i="14"/>
  <c r="BN158" i="14"/>
  <c r="BM158" i="14"/>
  <c r="BL158" i="14"/>
  <c r="BK158" i="14"/>
  <c r="BJ158" i="14"/>
  <c r="BI158" i="14"/>
  <c r="BH158" i="14"/>
  <c r="BF158" i="14"/>
  <c r="BE158" i="14"/>
  <c r="BD158" i="14"/>
  <c r="BC158" i="14"/>
  <c r="AA158" i="14"/>
  <c r="BG158" i="14" s="1"/>
  <c r="N158" i="14"/>
  <c r="BS157" i="14"/>
  <c r="BR157" i="14"/>
  <c r="BQ157" i="14"/>
  <c r="BP157" i="14"/>
  <c r="BO157" i="14"/>
  <c r="BN157" i="14"/>
  <c r="BM157" i="14"/>
  <c r="BL157" i="14"/>
  <c r="BK157" i="14"/>
  <c r="BJ157" i="14"/>
  <c r="BI157" i="14"/>
  <c r="BH157" i="14"/>
  <c r="BF157" i="14"/>
  <c r="BE157" i="14"/>
  <c r="BD157" i="14"/>
  <c r="BC157" i="14"/>
  <c r="AA157" i="14"/>
  <c r="BG157" i="14" s="1"/>
  <c r="N157" i="14"/>
  <c r="BS156" i="14"/>
  <c r="BR156" i="14"/>
  <c r="BQ156" i="14"/>
  <c r="BP156" i="14"/>
  <c r="BO156" i="14"/>
  <c r="BN156" i="14"/>
  <c r="BM156" i="14"/>
  <c r="BL156" i="14"/>
  <c r="BK156" i="14"/>
  <c r="BJ156" i="14"/>
  <c r="BI156" i="14"/>
  <c r="BH156" i="14"/>
  <c r="BF156" i="14"/>
  <c r="BE156" i="14"/>
  <c r="BD156" i="14"/>
  <c r="BC156" i="14"/>
  <c r="AA156" i="14"/>
  <c r="BG156" i="14" s="1"/>
  <c r="N156" i="14"/>
  <c r="BS155" i="14"/>
  <c r="BR155" i="14"/>
  <c r="BQ155" i="14"/>
  <c r="BP155" i="14"/>
  <c r="BO155" i="14"/>
  <c r="BN155" i="14"/>
  <c r="BM155" i="14"/>
  <c r="BL155" i="14"/>
  <c r="BK155" i="14"/>
  <c r="BJ155" i="14"/>
  <c r="BI155" i="14"/>
  <c r="BH155" i="14"/>
  <c r="BF155" i="14"/>
  <c r="BE155" i="14"/>
  <c r="BD155" i="14"/>
  <c r="BC155" i="14"/>
  <c r="AA155" i="14"/>
  <c r="BG155" i="14" s="1"/>
  <c r="N155" i="14"/>
  <c r="BS154" i="14"/>
  <c r="BR154" i="14"/>
  <c r="BQ154" i="14"/>
  <c r="BP154" i="14"/>
  <c r="BO154" i="14"/>
  <c r="BN154" i="14"/>
  <c r="BM154" i="14"/>
  <c r="BL154" i="14"/>
  <c r="BK154" i="14"/>
  <c r="BJ154" i="14"/>
  <c r="BI154" i="14"/>
  <c r="BH154" i="14"/>
  <c r="BF154" i="14"/>
  <c r="BE154" i="14"/>
  <c r="BD154" i="14"/>
  <c r="BC154" i="14"/>
  <c r="AA154" i="14"/>
  <c r="BG154" i="14" s="1"/>
  <c r="N154" i="14"/>
  <c r="BS153" i="14"/>
  <c r="BR153" i="14"/>
  <c r="BQ153" i="14"/>
  <c r="BP153" i="14"/>
  <c r="BO153" i="14"/>
  <c r="BN153" i="14"/>
  <c r="BM153" i="14"/>
  <c r="BL153" i="14"/>
  <c r="BK153" i="14"/>
  <c r="BJ153" i="14"/>
  <c r="BI153" i="14"/>
  <c r="BH153" i="14"/>
  <c r="BF153" i="14"/>
  <c r="BE153" i="14"/>
  <c r="BD153" i="14"/>
  <c r="BC153" i="14"/>
  <c r="AA153" i="14"/>
  <c r="BG153" i="14" s="1"/>
  <c r="N153" i="14"/>
  <c r="BS152" i="14"/>
  <c r="BR152" i="14"/>
  <c r="BQ152" i="14"/>
  <c r="BP152" i="14"/>
  <c r="BO152" i="14"/>
  <c r="BN152" i="14"/>
  <c r="BM152" i="14"/>
  <c r="BL152" i="14"/>
  <c r="BK152" i="14"/>
  <c r="BJ152" i="14"/>
  <c r="BI152" i="14"/>
  <c r="BH152" i="14"/>
  <c r="BF152" i="14"/>
  <c r="BE152" i="14"/>
  <c r="BD152" i="14"/>
  <c r="BC152" i="14"/>
  <c r="AA152" i="14"/>
  <c r="BG152" i="14" s="1"/>
  <c r="N152" i="14"/>
  <c r="BS151" i="14"/>
  <c r="BR151" i="14"/>
  <c r="BQ151" i="14"/>
  <c r="BP151" i="14"/>
  <c r="BO151" i="14"/>
  <c r="BN151" i="14"/>
  <c r="BM151" i="14"/>
  <c r="BL151" i="14"/>
  <c r="BK151" i="14"/>
  <c r="BJ151" i="14"/>
  <c r="BI151" i="14"/>
  <c r="BH151" i="14"/>
  <c r="BF151" i="14"/>
  <c r="BE151" i="14"/>
  <c r="BD151" i="14"/>
  <c r="BC151" i="14"/>
  <c r="AA151" i="14"/>
  <c r="BG151" i="14" s="1"/>
  <c r="N151" i="14"/>
  <c r="BS150" i="14"/>
  <c r="BR150" i="14"/>
  <c r="BQ150" i="14"/>
  <c r="BP150" i="14"/>
  <c r="BO150" i="14"/>
  <c r="BN150" i="14"/>
  <c r="BM150" i="14"/>
  <c r="BL150" i="14"/>
  <c r="BK150" i="14"/>
  <c r="BJ150" i="14"/>
  <c r="BI150" i="14"/>
  <c r="BH150" i="14"/>
  <c r="BF150" i="14"/>
  <c r="BE150" i="14"/>
  <c r="BD150" i="14"/>
  <c r="BC150" i="14"/>
  <c r="AA150" i="14"/>
  <c r="BG150" i="14" s="1"/>
  <c r="N150" i="14"/>
  <c r="BS149" i="14"/>
  <c r="BR149" i="14"/>
  <c r="BQ149" i="14"/>
  <c r="BP149" i="14"/>
  <c r="BO149" i="14"/>
  <c r="BN149" i="14"/>
  <c r="BM149" i="14"/>
  <c r="BL149" i="14"/>
  <c r="BK149" i="14"/>
  <c r="BJ149" i="14"/>
  <c r="BI149" i="14"/>
  <c r="BH149" i="14"/>
  <c r="BF149" i="14"/>
  <c r="BE149" i="14"/>
  <c r="BD149" i="14"/>
  <c r="BC149" i="14"/>
  <c r="AA149" i="14"/>
  <c r="BG149" i="14" s="1"/>
  <c r="N149" i="14"/>
  <c r="BS148" i="14"/>
  <c r="BR148" i="14"/>
  <c r="BQ148" i="14"/>
  <c r="BP148" i="14"/>
  <c r="BO148" i="14"/>
  <c r="BN148" i="14"/>
  <c r="BM148" i="14"/>
  <c r="BL148" i="14"/>
  <c r="BK148" i="14"/>
  <c r="BJ148" i="14"/>
  <c r="BI148" i="14"/>
  <c r="BH148" i="14"/>
  <c r="BF148" i="14"/>
  <c r="BE148" i="14"/>
  <c r="BD148" i="14"/>
  <c r="BC148" i="14"/>
  <c r="AA148" i="14"/>
  <c r="BG148" i="14" s="1"/>
  <c r="N148" i="14"/>
  <c r="BS147" i="14"/>
  <c r="BR147" i="14"/>
  <c r="BQ147" i="14"/>
  <c r="BP147" i="14"/>
  <c r="BO147" i="14"/>
  <c r="BN147" i="14"/>
  <c r="BM147" i="14"/>
  <c r="BL147" i="14"/>
  <c r="BK147" i="14"/>
  <c r="BJ147" i="14"/>
  <c r="BI147" i="14"/>
  <c r="BH147" i="14"/>
  <c r="BF147" i="14"/>
  <c r="BE147" i="14"/>
  <c r="BD147" i="14"/>
  <c r="BC147" i="14"/>
  <c r="AA147" i="14"/>
  <c r="BG147" i="14" s="1"/>
  <c r="N147" i="14"/>
  <c r="BS146" i="14"/>
  <c r="BR146" i="14"/>
  <c r="BQ146" i="14"/>
  <c r="BP146" i="14"/>
  <c r="BO146" i="14"/>
  <c r="BN146" i="14"/>
  <c r="BM146" i="14"/>
  <c r="BL146" i="14"/>
  <c r="BK146" i="14"/>
  <c r="BJ146" i="14"/>
  <c r="BI146" i="14"/>
  <c r="BH146" i="14"/>
  <c r="BF146" i="14"/>
  <c r="BE146" i="14"/>
  <c r="BD146" i="14"/>
  <c r="BC146" i="14"/>
  <c r="AA146" i="14"/>
  <c r="BG146" i="14" s="1"/>
  <c r="N146" i="14"/>
  <c r="BS145" i="14"/>
  <c r="BR145" i="14"/>
  <c r="BQ145" i="14"/>
  <c r="BP145" i="14"/>
  <c r="BO145" i="14"/>
  <c r="BN145" i="14"/>
  <c r="BM145" i="14"/>
  <c r="BL145" i="14"/>
  <c r="BK145" i="14"/>
  <c r="BJ145" i="14"/>
  <c r="BI145" i="14"/>
  <c r="BH145" i="14"/>
  <c r="BF145" i="14"/>
  <c r="BE145" i="14"/>
  <c r="BD145" i="14"/>
  <c r="BC145" i="14"/>
  <c r="AA145" i="14"/>
  <c r="BG145" i="14" s="1"/>
  <c r="N145" i="14"/>
  <c r="BS144" i="14"/>
  <c r="BR144" i="14"/>
  <c r="BQ144" i="14"/>
  <c r="BP144" i="14"/>
  <c r="BO144" i="14"/>
  <c r="BN144" i="14"/>
  <c r="BM144" i="14"/>
  <c r="BL144" i="14"/>
  <c r="BK144" i="14"/>
  <c r="BJ144" i="14"/>
  <c r="BI144" i="14"/>
  <c r="BH144" i="14"/>
  <c r="BF144" i="14"/>
  <c r="BE144" i="14"/>
  <c r="BD144" i="14"/>
  <c r="BC144" i="14"/>
  <c r="AA144" i="14"/>
  <c r="BG144" i="14" s="1"/>
  <c r="N144" i="14"/>
  <c r="BS143" i="14"/>
  <c r="BR143" i="14"/>
  <c r="BQ143" i="14"/>
  <c r="BP143" i="14"/>
  <c r="BO143" i="14"/>
  <c r="BN143" i="14"/>
  <c r="BM143" i="14"/>
  <c r="BL143" i="14"/>
  <c r="BK143" i="14"/>
  <c r="BJ143" i="14"/>
  <c r="BI143" i="14"/>
  <c r="BH143" i="14"/>
  <c r="BF143" i="14"/>
  <c r="BE143" i="14"/>
  <c r="BD143" i="14"/>
  <c r="BC143" i="14"/>
  <c r="AA143" i="14"/>
  <c r="BG143" i="14" s="1"/>
  <c r="N143" i="14"/>
  <c r="BS142" i="14"/>
  <c r="BR142" i="14"/>
  <c r="BQ142" i="14"/>
  <c r="BP142" i="14"/>
  <c r="BO142" i="14"/>
  <c r="BN142" i="14"/>
  <c r="BM142" i="14"/>
  <c r="BL142" i="14"/>
  <c r="BK142" i="14"/>
  <c r="BJ142" i="14"/>
  <c r="BI142" i="14"/>
  <c r="BH142" i="14"/>
  <c r="BF142" i="14"/>
  <c r="BE142" i="14"/>
  <c r="BD142" i="14"/>
  <c r="BC142" i="14"/>
  <c r="AA142" i="14"/>
  <c r="BG142" i="14" s="1"/>
  <c r="N142" i="14"/>
  <c r="BS141" i="14"/>
  <c r="BR141" i="14"/>
  <c r="BQ141" i="14"/>
  <c r="BP141" i="14"/>
  <c r="BO141" i="14"/>
  <c r="BN141" i="14"/>
  <c r="BM141" i="14"/>
  <c r="BL141" i="14"/>
  <c r="BK141" i="14"/>
  <c r="BJ141" i="14"/>
  <c r="BI141" i="14"/>
  <c r="BH141" i="14"/>
  <c r="BF141" i="14"/>
  <c r="BE141" i="14"/>
  <c r="BD141" i="14"/>
  <c r="BC141" i="14"/>
  <c r="AA141" i="14"/>
  <c r="BG141" i="14" s="1"/>
  <c r="N141" i="14"/>
  <c r="BS140" i="14"/>
  <c r="BR140" i="14"/>
  <c r="BQ140" i="14"/>
  <c r="BP140" i="14"/>
  <c r="BO140" i="14"/>
  <c r="BN140" i="14"/>
  <c r="BM140" i="14"/>
  <c r="BL140" i="14"/>
  <c r="BK140" i="14"/>
  <c r="BJ140" i="14"/>
  <c r="BI140" i="14"/>
  <c r="BH140" i="14"/>
  <c r="BF140" i="14"/>
  <c r="BE140" i="14"/>
  <c r="BD140" i="14"/>
  <c r="BC140" i="14"/>
  <c r="AA140" i="14"/>
  <c r="BG140" i="14" s="1"/>
  <c r="N140" i="14"/>
  <c r="BS139" i="14"/>
  <c r="BR139" i="14"/>
  <c r="BQ139" i="14"/>
  <c r="BP139" i="14"/>
  <c r="BO139" i="14"/>
  <c r="BN139" i="14"/>
  <c r="BM139" i="14"/>
  <c r="BL139" i="14"/>
  <c r="BK139" i="14"/>
  <c r="BJ139" i="14"/>
  <c r="BI139" i="14"/>
  <c r="BH139" i="14"/>
  <c r="BF139" i="14"/>
  <c r="BE139" i="14"/>
  <c r="BD139" i="14"/>
  <c r="BC139" i="14"/>
  <c r="AA139" i="14"/>
  <c r="BG139" i="14" s="1"/>
  <c r="N139" i="14"/>
  <c r="BS138" i="14"/>
  <c r="BR138" i="14"/>
  <c r="BQ138" i="14"/>
  <c r="BP138" i="14"/>
  <c r="BO138" i="14"/>
  <c r="BN138" i="14"/>
  <c r="BM138" i="14"/>
  <c r="BL138" i="14"/>
  <c r="BK138" i="14"/>
  <c r="BJ138" i="14"/>
  <c r="BI138" i="14"/>
  <c r="BH138" i="14"/>
  <c r="BF138" i="14"/>
  <c r="BE138" i="14"/>
  <c r="BD138" i="14"/>
  <c r="BC138" i="14"/>
  <c r="AA138" i="14"/>
  <c r="BG138" i="14" s="1"/>
  <c r="N138" i="14"/>
  <c r="BS137" i="14"/>
  <c r="BR137" i="14"/>
  <c r="BQ137" i="14"/>
  <c r="BP137" i="14"/>
  <c r="BO137" i="14"/>
  <c r="BN137" i="14"/>
  <c r="BM137" i="14"/>
  <c r="BL137" i="14"/>
  <c r="BK137" i="14"/>
  <c r="BJ137" i="14"/>
  <c r="BI137" i="14"/>
  <c r="BH137" i="14"/>
  <c r="BF137" i="14"/>
  <c r="BE137" i="14"/>
  <c r="BD137" i="14"/>
  <c r="BC137" i="14"/>
  <c r="AA137" i="14"/>
  <c r="BG137" i="14" s="1"/>
  <c r="N137" i="14"/>
  <c r="BS136" i="14"/>
  <c r="BR136" i="14"/>
  <c r="BQ136" i="14"/>
  <c r="BP136" i="14"/>
  <c r="BO136" i="14"/>
  <c r="BN136" i="14"/>
  <c r="BM136" i="14"/>
  <c r="BL136" i="14"/>
  <c r="BK136" i="14"/>
  <c r="BJ136" i="14"/>
  <c r="BI136" i="14"/>
  <c r="BH136" i="14"/>
  <c r="BF136" i="14"/>
  <c r="BE136" i="14"/>
  <c r="BD136" i="14"/>
  <c r="BC136" i="14"/>
  <c r="AA136" i="14"/>
  <c r="BG136" i="14" s="1"/>
  <c r="N136" i="14"/>
  <c r="BS135" i="14"/>
  <c r="BR135" i="14"/>
  <c r="BQ135" i="14"/>
  <c r="BP135" i="14"/>
  <c r="BO135" i="14"/>
  <c r="BN135" i="14"/>
  <c r="BM135" i="14"/>
  <c r="BL135" i="14"/>
  <c r="BK135" i="14"/>
  <c r="BJ135" i="14"/>
  <c r="BI135" i="14"/>
  <c r="BH135" i="14"/>
  <c r="BF135" i="14"/>
  <c r="BE135" i="14"/>
  <c r="BD135" i="14"/>
  <c r="BC135" i="14"/>
  <c r="AA135" i="14"/>
  <c r="BG135" i="14" s="1"/>
  <c r="N135" i="14"/>
  <c r="BS134" i="14"/>
  <c r="BR134" i="14"/>
  <c r="BQ134" i="14"/>
  <c r="BP134" i="14"/>
  <c r="BO134" i="14"/>
  <c r="BN134" i="14"/>
  <c r="BM134" i="14"/>
  <c r="BL134" i="14"/>
  <c r="BK134" i="14"/>
  <c r="BJ134" i="14"/>
  <c r="BI134" i="14"/>
  <c r="BH134" i="14"/>
  <c r="BF134" i="14"/>
  <c r="BE134" i="14"/>
  <c r="BD134" i="14"/>
  <c r="BC134" i="14"/>
  <c r="AA134" i="14"/>
  <c r="BG134" i="14" s="1"/>
  <c r="N134" i="14"/>
  <c r="BS133" i="14"/>
  <c r="BR133" i="14"/>
  <c r="BQ133" i="14"/>
  <c r="BP133" i="14"/>
  <c r="BO133" i="14"/>
  <c r="BN133" i="14"/>
  <c r="BM133" i="14"/>
  <c r="BL133" i="14"/>
  <c r="BK133" i="14"/>
  <c r="BJ133" i="14"/>
  <c r="BI133" i="14"/>
  <c r="BH133" i="14"/>
  <c r="BF133" i="14"/>
  <c r="BE133" i="14"/>
  <c r="BD133" i="14"/>
  <c r="BC133" i="14"/>
  <c r="AA133" i="14"/>
  <c r="BG133" i="14" s="1"/>
  <c r="N133" i="14"/>
  <c r="BS132" i="14"/>
  <c r="BR132" i="14"/>
  <c r="BQ132" i="14"/>
  <c r="BP132" i="14"/>
  <c r="BO132" i="14"/>
  <c r="BN132" i="14"/>
  <c r="BM132" i="14"/>
  <c r="BL132" i="14"/>
  <c r="BK132" i="14"/>
  <c r="BJ132" i="14"/>
  <c r="BI132" i="14"/>
  <c r="BH132" i="14"/>
  <c r="BF132" i="14"/>
  <c r="BE132" i="14"/>
  <c r="BD132" i="14"/>
  <c r="BC132" i="14"/>
  <c r="AA132" i="14"/>
  <c r="BG132" i="14" s="1"/>
  <c r="N132" i="14"/>
  <c r="BS131" i="14"/>
  <c r="BR131" i="14"/>
  <c r="BQ131" i="14"/>
  <c r="BP131" i="14"/>
  <c r="BO131" i="14"/>
  <c r="BN131" i="14"/>
  <c r="BM131" i="14"/>
  <c r="BL131" i="14"/>
  <c r="BK131" i="14"/>
  <c r="BJ131" i="14"/>
  <c r="BI131" i="14"/>
  <c r="BH131" i="14"/>
  <c r="BF131" i="14"/>
  <c r="BE131" i="14"/>
  <c r="BD131" i="14"/>
  <c r="BC131" i="14"/>
  <c r="AA131" i="14"/>
  <c r="BG131" i="14" s="1"/>
  <c r="N131" i="14"/>
  <c r="BS130" i="14"/>
  <c r="BR130" i="14"/>
  <c r="BQ130" i="14"/>
  <c r="BP130" i="14"/>
  <c r="BO130" i="14"/>
  <c r="BN130" i="14"/>
  <c r="BM130" i="14"/>
  <c r="BL130" i="14"/>
  <c r="BK130" i="14"/>
  <c r="BJ130" i="14"/>
  <c r="BI130" i="14"/>
  <c r="BH130" i="14"/>
  <c r="BF130" i="14"/>
  <c r="BE130" i="14"/>
  <c r="BD130" i="14"/>
  <c r="BC130" i="14"/>
  <c r="AA130" i="14"/>
  <c r="BG130" i="14" s="1"/>
  <c r="N130" i="14"/>
  <c r="BS129" i="14"/>
  <c r="BR129" i="14"/>
  <c r="BQ129" i="14"/>
  <c r="BP129" i="14"/>
  <c r="BO129" i="14"/>
  <c r="BN129" i="14"/>
  <c r="BM129" i="14"/>
  <c r="BL129" i="14"/>
  <c r="BK129" i="14"/>
  <c r="BJ129" i="14"/>
  <c r="BI129" i="14"/>
  <c r="BH129" i="14"/>
  <c r="BF129" i="14"/>
  <c r="BE129" i="14"/>
  <c r="BD129" i="14"/>
  <c r="BC129" i="14"/>
  <c r="AA129" i="14"/>
  <c r="BG129" i="14" s="1"/>
  <c r="N129" i="14"/>
  <c r="BS128" i="14"/>
  <c r="BR128" i="14"/>
  <c r="BQ128" i="14"/>
  <c r="BP128" i="14"/>
  <c r="BO128" i="14"/>
  <c r="BN128" i="14"/>
  <c r="BM128" i="14"/>
  <c r="BL128" i="14"/>
  <c r="BK128" i="14"/>
  <c r="BJ128" i="14"/>
  <c r="BI128" i="14"/>
  <c r="BH128" i="14"/>
  <c r="BF128" i="14"/>
  <c r="BE128" i="14"/>
  <c r="BD128" i="14"/>
  <c r="BC128" i="14"/>
  <c r="AA128" i="14"/>
  <c r="BG128" i="14" s="1"/>
  <c r="N128" i="14"/>
  <c r="BS127" i="14"/>
  <c r="BR127" i="14"/>
  <c r="BQ127" i="14"/>
  <c r="BP127" i="14"/>
  <c r="BO127" i="14"/>
  <c r="BN127" i="14"/>
  <c r="BM127" i="14"/>
  <c r="BL127" i="14"/>
  <c r="BK127" i="14"/>
  <c r="BJ127" i="14"/>
  <c r="BI127" i="14"/>
  <c r="BH127" i="14"/>
  <c r="BF127" i="14"/>
  <c r="BE127" i="14"/>
  <c r="BD127" i="14"/>
  <c r="BC127" i="14"/>
  <c r="AA127" i="14"/>
  <c r="BG127" i="14" s="1"/>
  <c r="N127" i="14"/>
  <c r="BS126" i="14"/>
  <c r="BR126" i="14"/>
  <c r="BQ126" i="14"/>
  <c r="BP126" i="14"/>
  <c r="BO126" i="14"/>
  <c r="BN126" i="14"/>
  <c r="BM126" i="14"/>
  <c r="BL126" i="14"/>
  <c r="BK126" i="14"/>
  <c r="BJ126" i="14"/>
  <c r="BI126" i="14"/>
  <c r="BH126" i="14"/>
  <c r="BF126" i="14"/>
  <c r="BE126" i="14"/>
  <c r="BD126" i="14"/>
  <c r="BC126" i="14"/>
  <c r="AA126" i="14"/>
  <c r="BG126" i="14" s="1"/>
  <c r="N126" i="14"/>
  <c r="BS125" i="14"/>
  <c r="BR125" i="14"/>
  <c r="BQ125" i="14"/>
  <c r="BP125" i="14"/>
  <c r="BO125" i="14"/>
  <c r="BN125" i="14"/>
  <c r="BM125" i="14"/>
  <c r="BL125" i="14"/>
  <c r="BK125" i="14"/>
  <c r="BJ125" i="14"/>
  <c r="BI125" i="14"/>
  <c r="BH125" i="14"/>
  <c r="BF125" i="14"/>
  <c r="BE125" i="14"/>
  <c r="BD125" i="14"/>
  <c r="BC125" i="14"/>
  <c r="AA125" i="14"/>
  <c r="BG125" i="14" s="1"/>
  <c r="N125" i="14"/>
  <c r="BS124" i="14"/>
  <c r="BR124" i="14"/>
  <c r="BQ124" i="14"/>
  <c r="BP124" i="14"/>
  <c r="BO124" i="14"/>
  <c r="BN124" i="14"/>
  <c r="BM124" i="14"/>
  <c r="BL124" i="14"/>
  <c r="BK124" i="14"/>
  <c r="BJ124" i="14"/>
  <c r="BI124" i="14"/>
  <c r="BH124" i="14"/>
  <c r="BF124" i="14"/>
  <c r="BE124" i="14"/>
  <c r="BD124" i="14"/>
  <c r="BC124" i="14"/>
  <c r="AA124" i="14"/>
  <c r="BG124" i="14" s="1"/>
  <c r="N124" i="14"/>
  <c r="BS123" i="14"/>
  <c r="BR123" i="14"/>
  <c r="BQ123" i="14"/>
  <c r="BP123" i="14"/>
  <c r="BO123" i="14"/>
  <c r="BN123" i="14"/>
  <c r="BM123" i="14"/>
  <c r="BL123" i="14"/>
  <c r="BK123" i="14"/>
  <c r="BJ123" i="14"/>
  <c r="BI123" i="14"/>
  <c r="BH123" i="14"/>
  <c r="BF123" i="14"/>
  <c r="BE123" i="14"/>
  <c r="BD123" i="14"/>
  <c r="BC123" i="14"/>
  <c r="AA123" i="14"/>
  <c r="BG123" i="14" s="1"/>
  <c r="N123" i="14"/>
  <c r="BS122" i="14"/>
  <c r="BR122" i="14"/>
  <c r="BQ122" i="14"/>
  <c r="BP122" i="14"/>
  <c r="BO122" i="14"/>
  <c r="BN122" i="14"/>
  <c r="BM122" i="14"/>
  <c r="BL122" i="14"/>
  <c r="BK122" i="14"/>
  <c r="BJ122" i="14"/>
  <c r="BI122" i="14"/>
  <c r="BH122" i="14"/>
  <c r="BF122" i="14"/>
  <c r="BE122" i="14"/>
  <c r="BD122" i="14"/>
  <c r="BC122" i="14"/>
  <c r="AA122" i="14"/>
  <c r="BG122" i="14" s="1"/>
  <c r="N122" i="14"/>
  <c r="BS121" i="14"/>
  <c r="BR121" i="14"/>
  <c r="BQ121" i="14"/>
  <c r="BP121" i="14"/>
  <c r="BO121" i="14"/>
  <c r="BN121" i="14"/>
  <c r="BM121" i="14"/>
  <c r="BL121" i="14"/>
  <c r="BK121" i="14"/>
  <c r="BJ121" i="14"/>
  <c r="BI121" i="14"/>
  <c r="BH121" i="14"/>
  <c r="BF121" i="14"/>
  <c r="BE121" i="14"/>
  <c r="BD121" i="14"/>
  <c r="BC121" i="14"/>
  <c r="AA121" i="14"/>
  <c r="BG121" i="14" s="1"/>
  <c r="N121" i="14"/>
  <c r="BS120" i="14"/>
  <c r="BR120" i="14"/>
  <c r="BQ120" i="14"/>
  <c r="BP120" i="14"/>
  <c r="BO120" i="14"/>
  <c r="BN120" i="14"/>
  <c r="BM120" i="14"/>
  <c r="BL120" i="14"/>
  <c r="BK120" i="14"/>
  <c r="BJ120" i="14"/>
  <c r="BI120" i="14"/>
  <c r="BH120" i="14"/>
  <c r="BF120" i="14"/>
  <c r="BE120" i="14"/>
  <c r="BD120" i="14"/>
  <c r="BC120" i="14"/>
  <c r="AA120" i="14"/>
  <c r="BG120" i="14" s="1"/>
  <c r="N120" i="14"/>
  <c r="BS119" i="14"/>
  <c r="BR119" i="14"/>
  <c r="BQ119" i="14"/>
  <c r="BP119" i="14"/>
  <c r="BO119" i="14"/>
  <c r="BN119" i="14"/>
  <c r="BM119" i="14"/>
  <c r="BL119" i="14"/>
  <c r="BK119" i="14"/>
  <c r="BJ119" i="14"/>
  <c r="BI119" i="14"/>
  <c r="BH119" i="14"/>
  <c r="BF119" i="14"/>
  <c r="BE119" i="14"/>
  <c r="BD119" i="14"/>
  <c r="BC119" i="14"/>
  <c r="AA119" i="14"/>
  <c r="BG119" i="14" s="1"/>
  <c r="N119" i="14"/>
  <c r="BS118" i="14"/>
  <c r="BR118" i="14"/>
  <c r="BQ118" i="14"/>
  <c r="BP118" i="14"/>
  <c r="BO118" i="14"/>
  <c r="BN118" i="14"/>
  <c r="BM118" i="14"/>
  <c r="BL118" i="14"/>
  <c r="BK118" i="14"/>
  <c r="BJ118" i="14"/>
  <c r="BI118" i="14"/>
  <c r="BH118" i="14"/>
  <c r="BF118" i="14"/>
  <c r="BE118" i="14"/>
  <c r="BD118" i="14"/>
  <c r="BC118" i="14"/>
  <c r="AA118" i="14"/>
  <c r="BG118" i="14" s="1"/>
  <c r="N118" i="14"/>
  <c r="BS117" i="14"/>
  <c r="BR117" i="14"/>
  <c r="BQ117" i="14"/>
  <c r="BP117" i="14"/>
  <c r="BO117" i="14"/>
  <c r="BN117" i="14"/>
  <c r="BM117" i="14"/>
  <c r="BL117" i="14"/>
  <c r="BK117" i="14"/>
  <c r="BJ117" i="14"/>
  <c r="BI117" i="14"/>
  <c r="BH117" i="14"/>
  <c r="BF117" i="14"/>
  <c r="BE117" i="14"/>
  <c r="BD117" i="14"/>
  <c r="BC117" i="14"/>
  <c r="AA117" i="14"/>
  <c r="BG117" i="14" s="1"/>
  <c r="N117" i="14"/>
  <c r="BS116" i="14"/>
  <c r="BR116" i="14"/>
  <c r="BQ116" i="14"/>
  <c r="BP116" i="14"/>
  <c r="BO116" i="14"/>
  <c r="BN116" i="14"/>
  <c r="BM116" i="14"/>
  <c r="BL116" i="14"/>
  <c r="BK116" i="14"/>
  <c r="BJ116" i="14"/>
  <c r="BI116" i="14"/>
  <c r="BH116" i="14"/>
  <c r="BF116" i="14"/>
  <c r="BE116" i="14"/>
  <c r="BD116" i="14"/>
  <c r="BC116" i="14"/>
  <c r="AA116" i="14"/>
  <c r="BG116" i="14" s="1"/>
  <c r="N116" i="14"/>
  <c r="BS115" i="14"/>
  <c r="BR115" i="14"/>
  <c r="BQ115" i="14"/>
  <c r="BP115" i="14"/>
  <c r="BO115" i="14"/>
  <c r="BN115" i="14"/>
  <c r="BM115" i="14"/>
  <c r="BL115" i="14"/>
  <c r="BK115" i="14"/>
  <c r="BJ115" i="14"/>
  <c r="BI115" i="14"/>
  <c r="BH115" i="14"/>
  <c r="BF115" i="14"/>
  <c r="BE115" i="14"/>
  <c r="BD115" i="14"/>
  <c r="BC115" i="14"/>
  <c r="AA115" i="14"/>
  <c r="BG115" i="14" s="1"/>
  <c r="N115" i="14"/>
  <c r="BS114" i="14"/>
  <c r="BR114" i="14"/>
  <c r="BQ114" i="14"/>
  <c r="BP114" i="14"/>
  <c r="BO114" i="14"/>
  <c r="BN114" i="14"/>
  <c r="BM114" i="14"/>
  <c r="BL114" i="14"/>
  <c r="BK114" i="14"/>
  <c r="BJ114" i="14"/>
  <c r="BI114" i="14"/>
  <c r="BH114" i="14"/>
  <c r="BF114" i="14"/>
  <c r="BE114" i="14"/>
  <c r="BD114" i="14"/>
  <c r="BC114" i="14"/>
  <c r="AA114" i="14"/>
  <c r="BG114" i="14" s="1"/>
  <c r="N114" i="14"/>
  <c r="BS113" i="14"/>
  <c r="BR113" i="14"/>
  <c r="BQ113" i="14"/>
  <c r="BP113" i="14"/>
  <c r="BO113" i="14"/>
  <c r="BN113" i="14"/>
  <c r="BM113" i="14"/>
  <c r="BL113" i="14"/>
  <c r="BK113" i="14"/>
  <c r="BJ113" i="14"/>
  <c r="BI113" i="14"/>
  <c r="BH113" i="14"/>
  <c r="BF113" i="14"/>
  <c r="BE113" i="14"/>
  <c r="BD113" i="14"/>
  <c r="BC113" i="14"/>
  <c r="AA113" i="14"/>
  <c r="BG113" i="14" s="1"/>
  <c r="N113" i="14"/>
  <c r="BS112" i="14"/>
  <c r="BR112" i="14"/>
  <c r="BQ112" i="14"/>
  <c r="BP112" i="14"/>
  <c r="BO112" i="14"/>
  <c r="BN112" i="14"/>
  <c r="BM112" i="14"/>
  <c r="BL112" i="14"/>
  <c r="BK112" i="14"/>
  <c r="BJ112" i="14"/>
  <c r="BI112" i="14"/>
  <c r="BH112" i="14"/>
  <c r="BF112" i="14"/>
  <c r="BE112" i="14"/>
  <c r="BD112" i="14"/>
  <c r="BC112" i="14"/>
  <c r="AA112" i="14"/>
  <c r="BG112" i="14" s="1"/>
  <c r="N112" i="14"/>
  <c r="BS111" i="14"/>
  <c r="BR111" i="14"/>
  <c r="BQ111" i="14"/>
  <c r="BP111" i="14"/>
  <c r="BO111" i="14"/>
  <c r="BN111" i="14"/>
  <c r="BM111" i="14"/>
  <c r="BL111" i="14"/>
  <c r="BK111" i="14"/>
  <c r="BJ111" i="14"/>
  <c r="BI111" i="14"/>
  <c r="BH111" i="14"/>
  <c r="BF111" i="14"/>
  <c r="BE111" i="14"/>
  <c r="BD111" i="14"/>
  <c r="BC111" i="14"/>
  <c r="AA111" i="14"/>
  <c r="BG111" i="14" s="1"/>
  <c r="N111" i="14"/>
  <c r="BS110" i="14"/>
  <c r="BR110" i="14"/>
  <c r="BQ110" i="14"/>
  <c r="BP110" i="14"/>
  <c r="BO110" i="14"/>
  <c r="BN110" i="14"/>
  <c r="BM110" i="14"/>
  <c r="BL110" i="14"/>
  <c r="BK110" i="14"/>
  <c r="BJ110" i="14"/>
  <c r="BI110" i="14"/>
  <c r="BH110" i="14"/>
  <c r="BF110" i="14"/>
  <c r="BE110" i="14"/>
  <c r="BD110" i="14"/>
  <c r="BC110" i="14"/>
  <c r="AA110" i="14"/>
  <c r="BG110" i="14" s="1"/>
  <c r="N110" i="14"/>
  <c r="BS109" i="14"/>
  <c r="BR109" i="14"/>
  <c r="BQ109" i="14"/>
  <c r="BP109" i="14"/>
  <c r="BO109" i="14"/>
  <c r="BN109" i="14"/>
  <c r="BM109" i="14"/>
  <c r="BL109" i="14"/>
  <c r="BK109" i="14"/>
  <c r="BJ109" i="14"/>
  <c r="BI109" i="14"/>
  <c r="BH109" i="14"/>
  <c r="BF109" i="14"/>
  <c r="BE109" i="14"/>
  <c r="BD109" i="14"/>
  <c r="BC109" i="14"/>
  <c r="AA109" i="14"/>
  <c r="BG109" i="14" s="1"/>
  <c r="N109" i="14"/>
  <c r="BS108" i="14"/>
  <c r="BR108" i="14"/>
  <c r="BQ108" i="14"/>
  <c r="BP108" i="14"/>
  <c r="BO108" i="14"/>
  <c r="BN108" i="14"/>
  <c r="BM108" i="14"/>
  <c r="BL108" i="14"/>
  <c r="BK108" i="14"/>
  <c r="BJ108" i="14"/>
  <c r="BI108" i="14"/>
  <c r="BH108" i="14"/>
  <c r="BF108" i="14"/>
  <c r="BE108" i="14"/>
  <c r="BD108" i="14"/>
  <c r="BC108" i="14"/>
  <c r="AA108" i="14"/>
  <c r="BG108" i="14" s="1"/>
  <c r="N108" i="14"/>
  <c r="BS107" i="14"/>
  <c r="BR107" i="14"/>
  <c r="BQ107" i="14"/>
  <c r="BP107" i="14"/>
  <c r="BO107" i="14"/>
  <c r="BN107" i="14"/>
  <c r="BM107" i="14"/>
  <c r="BL107" i="14"/>
  <c r="BK107" i="14"/>
  <c r="BJ107" i="14"/>
  <c r="BI107" i="14"/>
  <c r="BH107" i="14"/>
  <c r="BF107" i="14"/>
  <c r="BE107" i="14"/>
  <c r="BD107" i="14"/>
  <c r="BC107" i="14"/>
  <c r="AA107" i="14"/>
  <c r="BG107" i="14" s="1"/>
  <c r="N107" i="14"/>
  <c r="BS106" i="14"/>
  <c r="BR106" i="14"/>
  <c r="BQ106" i="14"/>
  <c r="BP106" i="14"/>
  <c r="BO106" i="14"/>
  <c r="BN106" i="14"/>
  <c r="BM106" i="14"/>
  <c r="BL106" i="14"/>
  <c r="BK106" i="14"/>
  <c r="BJ106" i="14"/>
  <c r="BI106" i="14"/>
  <c r="BH106" i="14"/>
  <c r="BF106" i="14"/>
  <c r="BE106" i="14"/>
  <c r="BD106" i="14"/>
  <c r="BC106" i="14"/>
  <c r="AA106" i="14"/>
  <c r="BG106" i="14" s="1"/>
  <c r="N106" i="14"/>
  <c r="BS105" i="14"/>
  <c r="BR105" i="14"/>
  <c r="BQ105" i="14"/>
  <c r="BP105" i="14"/>
  <c r="BO105" i="14"/>
  <c r="BN105" i="14"/>
  <c r="BM105" i="14"/>
  <c r="BL105" i="14"/>
  <c r="BK105" i="14"/>
  <c r="BJ105" i="14"/>
  <c r="BI105" i="14"/>
  <c r="BH105" i="14"/>
  <c r="BF105" i="14"/>
  <c r="BE105" i="14"/>
  <c r="BD105" i="14"/>
  <c r="BC105" i="14"/>
  <c r="AA105" i="14"/>
  <c r="BG105" i="14" s="1"/>
  <c r="N105" i="14"/>
  <c r="BS104" i="14"/>
  <c r="BR104" i="14"/>
  <c r="BQ104" i="14"/>
  <c r="BP104" i="14"/>
  <c r="BO104" i="14"/>
  <c r="BN104" i="14"/>
  <c r="BM104" i="14"/>
  <c r="BL104" i="14"/>
  <c r="BK104" i="14"/>
  <c r="BJ104" i="14"/>
  <c r="BI104" i="14"/>
  <c r="BH104" i="14"/>
  <c r="BF104" i="14"/>
  <c r="BE104" i="14"/>
  <c r="BD104" i="14"/>
  <c r="BC104" i="14"/>
  <c r="AA104" i="14"/>
  <c r="BG104" i="14" s="1"/>
  <c r="N104" i="14"/>
  <c r="BS103" i="14"/>
  <c r="BR103" i="14"/>
  <c r="BQ103" i="14"/>
  <c r="BP103" i="14"/>
  <c r="BO103" i="14"/>
  <c r="BN103" i="14"/>
  <c r="BM103" i="14"/>
  <c r="BL103" i="14"/>
  <c r="BK103" i="14"/>
  <c r="BJ103" i="14"/>
  <c r="BI103" i="14"/>
  <c r="BH103" i="14"/>
  <c r="BF103" i="14"/>
  <c r="BE103" i="14"/>
  <c r="BD103" i="14"/>
  <c r="BC103" i="14"/>
  <c r="AA103" i="14"/>
  <c r="BG103" i="14" s="1"/>
  <c r="N103" i="14"/>
  <c r="BS102" i="14"/>
  <c r="BR102" i="14"/>
  <c r="BQ102" i="14"/>
  <c r="BP102" i="14"/>
  <c r="BO102" i="14"/>
  <c r="BN102" i="14"/>
  <c r="BM102" i="14"/>
  <c r="BL102" i="14"/>
  <c r="BK102" i="14"/>
  <c r="BJ102" i="14"/>
  <c r="BI102" i="14"/>
  <c r="BH102" i="14"/>
  <c r="BF102" i="14"/>
  <c r="BE102" i="14"/>
  <c r="BD102" i="14"/>
  <c r="BC102" i="14"/>
  <c r="AA102" i="14"/>
  <c r="BG102" i="14" s="1"/>
  <c r="N102" i="14"/>
  <c r="BS101" i="14"/>
  <c r="BR101" i="14"/>
  <c r="BQ101" i="14"/>
  <c r="BP101" i="14"/>
  <c r="BO101" i="14"/>
  <c r="BN101" i="14"/>
  <c r="BM101" i="14"/>
  <c r="BL101" i="14"/>
  <c r="BK101" i="14"/>
  <c r="BJ101" i="14"/>
  <c r="BI101" i="14"/>
  <c r="BH101" i="14"/>
  <c r="BF101" i="14"/>
  <c r="BE101" i="14"/>
  <c r="BD101" i="14"/>
  <c r="BC101" i="14"/>
  <c r="AA101" i="14"/>
  <c r="BG101" i="14" s="1"/>
  <c r="N101" i="14"/>
  <c r="BS100" i="14"/>
  <c r="BR100" i="14"/>
  <c r="BQ100" i="14"/>
  <c r="BP100" i="14"/>
  <c r="BO100" i="14"/>
  <c r="BN100" i="14"/>
  <c r="BM100" i="14"/>
  <c r="BL100" i="14"/>
  <c r="BK100" i="14"/>
  <c r="BJ100" i="14"/>
  <c r="BI100" i="14"/>
  <c r="BH100" i="14"/>
  <c r="BF100" i="14"/>
  <c r="BE100" i="14"/>
  <c r="BD100" i="14"/>
  <c r="BC100" i="14"/>
  <c r="AA100" i="14"/>
  <c r="BG100" i="14" s="1"/>
  <c r="N100" i="14"/>
  <c r="BS99" i="14"/>
  <c r="BR99" i="14"/>
  <c r="BQ99" i="14"/>
  <c r="BP99" i="14"/>
  <c r="BO99" i="14"/>
  <c r="BN99" i="14"/>
  <c r="BM99" i="14"/>
  <c r="BL99" i="14"/>
  <c r="BK99" i="14"/>
  <c r="BJ99" i="14"/>
  <c r="BI99" i="14"/>
  <c r="BH99" i="14"/>
  <c r="BF99" i="14"/>
  <c r="BE99" i="14"/>
  <c r="BD99" i="14"/>
  <c r="BC99" i="14"/>
  <c r="AA99" i="14"/>
  <c r="BG99" i="14" s="1"/>
  <c r="N99" i="14"/>
  <c r="BS98" i="14"/>
  <c r="BR98" i="14"/>
  <c r="BQ98" i="14"/>
  <c r="BP98" i="14"/>
  <c r="BO98" i="14"/>
  <c r="BN98" i="14"/>
  <c r="BM98" i="14"/>
  <c r="BL98" i="14"/>
  <c r="BK98" i="14"/>
  <c r="BJ98" i="14"/>
  <c r="BI98" i="14"/>
  <c r="BH98" i="14"/>
  <c r="BF98" i="14"/>
  <c r="BE98" i="14"/>
  <c r="BD98" i="14"/>
  <c r="BC98" i="14"/>
  <c r="AA98" i="14"/>
  <c r="BG98" i="14" s="1"/>
  <c r="N98" i="14"/>
  <c r="BS97" i="14"/>
  <c r="BR97" i="14"/>
  <c r="BQ97" i="14"/>
  <c r="BP97" i="14"/>
  <c r="BO97" i="14"/>
  <c r="BN97" i="14"/>
  <c r="BM97" i="14"/>
  <c r="BL97" i="14"/>
  <c r="BK97" i="14"/>
  <c r="BJ97" i="14"/>
  <c r="BI97" i="14"/>
  <c r="BH97" i="14"/>
  <c r="BF97" i="14"/>
  <c r="BE97" i="14"/>
  <c r="BD97" i="14"/>
  <c r="BC97" i="14"/>
  <c r="AA97" i="14"/>
  <c r="BG97" i="14" s="1"/>
  <c r="N97" i="14"/>
  <c r="BS96" i="14"/>
  <c r="BR96" i="14"/>
  <c r="BQ96" i="14"/>
  <c r="BP96" i="14"/>
  <c r="BO96" i="14"/>
  <c r="BN96" i="14"/>
  <c r="BM96" i="14"/>
  <c r="BL96" i="14"/>
  <c r="BK96" i="14"/>
  <c r="BJ96" i="14"/>
  <c r="BI96" i="14"/>
  <c r="BH96" i="14"/>
  <c r="BF96" i="14"/>
  <c r="BE96" i="14"/>
  <c r="BD96" i="14"/>
  <c r="BC96" i="14"/>
  <c r="AA96" i="14"/>
  <c r="BG96" i="14" s="1"/>
  <c r="N96" i="14"/>
  <c r="BS95" i="14"/>
  <c r="BR95" i="14"/>
  <c r="BQ95" i="14"/>
  <c r="BP95" i="14"/>
  <c r="BO95" i="14"/>
  <c r="BN95" i="14"/>
  <c r="BM95" i="14"/>
  <c r="BL95" i="14"/>
  <c r="BK95" i="14"/>
  <c r="BJ95" i="14"/>
  <c r="BI95" i="14"/>
  <c r="BH95" i="14"/>
  <c r="BF95" i="14"/>
  <c r="BE95" i="14"/>
  <c r="BD95" i="14"/>
  <c r="BC95" i="14"/>
  <c r="AA95" i="14"/>
  <c r="BG95" i="14" s="1"/>
  <c r="N95" i="14"/>
  <c r="BS94" i="14"/>
  <c r="BR94" i="14"/>
  <c r="BQ94" i="14"/>
  <c r="BP94" i="14"/>
  <c r="BO94" i="14"/>
  <c r="BN94" i="14"/>
  <c r="BM94" i="14"/>
  <c r="BL94" i="14"/>
  <c r="BK94" i="14"/>
  <c r="BJ94" i="14"/>
  <c r="BI94" i="14"/>
  <c r="BH94" i="14"/>
  <c r="BF94" i="14"/>
  <c r="BE94" i="14"/>
  <c r="BD94" i="14"/>
  <c r="BC94" i="14"/>
  <c r="AA94" i="14"/>
  <c r="BG94" i="14" s="1"/>
  <c r="N94" i="14"/>
  <c r="BS93" i="14"/>
  <c r="BR93" i="14"/>
  <c r="BQ93" i="14"/>
  <c r="BP93" i="14"/>
  <c r="BO93" i="14"/>
  <c r="BN93" i="14"/>
  <c r="BM93" i="14"/>
  <c r="BL93" i="14"/>
  <c r="BK93" i="14"/>
  <c r="BJ93" i="14"/>
  <c r="BI93" i="14"/>
  <c r="BH93" i="14"/>
  <c r="BF93" i="14"/>
  <c r="BE93" i="14"/>
  <c r="BD93" i="14"/>
  <c r="BC93" i="14"/>
  <c r="AA93" i="14"/>
  <c r="BG93" i="14" s="1"/>
  <c r="N93" i="14"/>
  <c r="BS92" i="14"/>
  <c r="BR92" i="14"/>
  <c r="BQ92" i="14"/>
  <c r="BP92" i="14"/>
  <c r="BO92" i="14"/>
  <c r="BN92" i="14"/>
  <c r="BM92" i="14"/>
  <c r="BL92" i="14"/>
  <c r="BK92" i="14"/>
  <c r="BJ92" i="14"/>
  <c r="BI92" i="14"/>
  <c r="BH92" i="14"/>
  <c r="BF92" i="14"/>
  <c r="BE92" i="14"/>
  <c r="BD92" i="14"/>
  <c r="BC92" i="14"/>
  <c r="AA92" i="14"/>
  <c r="BG92" i="14" s="1"/>
  <c r="N92" i="14"/>
  <c r="BS91" i="14"/>
  <c r="BR91" i="14"/>
  <c r="BQ91" i="14"/>
  <c r="BP91" i="14"/>
  <c r="BO91" i="14"/>
  <c r="BN91" i="14"/>
  <c r="BM91" i="14"/>
  <c r="BL91" i="14"/>
  <c r="BK91" i="14"/>
  <c r="BJ91" i="14"/>
  <c r="BI91" i="14"/>
  <c r="BH91" i="14"/>
  <c r="BF91" i="14"/>
  <c r="BE91" i="14"/>
  <c r="BD91" i="14"/>
  <c r="BC91" i="14"/>
  <c r="AA91" i="14"/>
  <c r="BG91" i="14" s="1"/>
  <c r="N91" i="14"/>
  <c r="BS90" i="14"/>
  <c r="BR90" i="14"/>
  <c r="BQ90" i="14"/>
  <c r="BP90" i="14"/>
  <c r="BO90" i="14"/>
  <c r="BN90" i="14"/>
  <c r="BM90" i="14"/>
  <c r="BL90" i="14"/>
  <c r="BK90" i="14"/>
  <c r="BJ90" i="14"/>
  <c r="BI90" i="14"/>
  <c r="BH90" i="14"/>
  <c r="BF90" i="14"/>
  <c r="BE90" i="14"/>
  <c r="BD90" i="14"/>
  <c r="BC90" i="14"/>
  <c r="AA90" i="14"/>
  <c r="BG90" i="14" s="1"/>
  <c r="N90" i="14"/>
  <c r="BS89" i="14"/>
  <c r="BR89" i="14"/>
  <c r="BQ89" i="14"/>
  <c r="BP89" i="14"/>
  <c r="BO89" i="14"/>
  <c r="BN89" i="14"/>
  <c r="BM89" i="14"/>
  <c r="BL89" i="14"/>
  <c r="BK89" i="14"/>
  <c r="BJ89" i="14"/>
  <c r="BI89" i="14"/>
  <c r="BH89" i="14"/>
  <c r="BF89" i="14"/>
  <c r="BE89" i="14"/>
  <c r="BD89" i="14"/>
  <c r="BC89" i="14"/>
  <c r="AA89" i="14"/>
  <c r="BG89" i="14" s="1"/>
  <c r="N89" i="14"/>
  <c r="BS88" i="14"/>
  <c r="BR88" i="14"/>
  <c r="BQ88" i="14"/>
  <c r="BP88" i="14"/>
  <c r="BO88" i="14"/>
  <c r="BN88" i="14"/>
  <c r="BM88" i="14"/>
  <c r="BL88" i="14"/>
  <c r="BK88" i="14"/>
  <c r="BJ88" i="14"/>
  <c r="BI88" i="14"/>
  <c r="BH88" i="14"/>
  <c r="BF88" i="14"/>
  <c r="BE88" i="14"/>
  <c r="BD88" i="14"/>
  <c r="BC88" i="14"/>
  <c r="AA88" i="14"/>
  <c r="BG88" i="14" s="1"/>
  <c r="N88" i="14"/>
  <c r="BS87" i="14"/>
  <c r="BR87" i="14"/>
  <c r="BQ87" i="14"/>
  <c r="BP87" i="14"/>
  <c r="BO87" i="14"/>
  <c r="BN87" i="14"/>
  <c r="BM87" i="14"/>
  <c r="BL87" i="14"/>
  <c r="BK87" i="14"/>
  <c r="BJ87" i="14"/>
  <c r="BI87" i="14"/>
  <c r="BH87" i="14"/>
  <c r="BF87" i="14"/>
  <c r="BE87" i="14"/>
  <c r="BD87" i="14"/>
  <c r="BC87" i="14"/>
  <c r="AA87" i="14"/>
  <c r="BG87" i="14" s="1"/>
  <c r="N87" i="14"/>
  <c r="BS86" i="14"/>
  <c r="BR86" i="14"/>
  <c r="BQ86" i="14"/>
  <c r="BP86" i="14"/>
  <c r="BO86" i="14"/>
  <c r="BN86" i="14"/>
  <c r="BM86" i="14"/>
  <c r="BL86" i="14"/>
  <c r="BK86" i="14"/>
  <c r="BJ86" i="14"/>
  <c r="BI86" i="14"/>
  <c r="BH86" i="14"/>
  <c r="BF86" i="14"/>
  <c r="BE86" i="14"/>
  <c r="BD86" i="14"/>
  <c r="BC86" i="14"/>
  <c r="AA86" i="14"/>
  <c r="BG86" i="14" s="1"/>
  <c r="N86" i="14"/>
  <c r="BS85" i="14"/>
  <c r="BR85" i="14"/>
  <c r="BQ85" i="14"/>
  <c r="BP85" i="14"/>
  <c r="BO85" i="14"/>
  <c r="BN85" i="14"/>
  <c r="BM85" i="14"/>
  <c r="BL85" i="14"/>
  <c r="BK85" i="14"/>
  <c r="BJ85" i="14"/>
  <c r="BI85" i="14"/>
  <c r="BH85" i="14"/>
  <c r="BF85" i="14"/>
  <c r="BE85" i="14"/>
  <c r="BD85" i="14"/>
  <c r="BC85" i="14"/>
  <c r="AA85" i="14"/>
  <c r="BG85" i="14" s="1"/>
  <c r="N85" i="14"/>
  <c r="BS84" i="14"/>
  <c r="BR84" i="14"/>
  <c r="BQ84" i="14"/>
  <c r="BP84" i="14"/>
  <c r="BO84" i="14"/>
  <c r="BN84" i="14"/>
  <c r="BM84" i="14"/>
  <c r="BL84" i="14"/>
  <c r="BK84" i="14"/>
  <c r="BJ84" i="14"/>
  <c r="BI84" i="14"/>
  <c r="BH84" i="14"/>
  <c r="BF84" i="14"/>
  <c r="BE84" i="14"/>
  <c r="BD84" i="14"/>
  <c r="BC84" i="14"/>
  <c r="AA84" i="14"/>
  <c r="BG84" i="14" s="1"/>
  <c r="N84" i="14"/>
  <c r="BS83" i="14"/>
  <c r="BR83" i="14"/>
  <c r="BQ83" i="14"/>
  <c r="BP83" i="14"/>
  <c r="BO83" i="14"/>
  <c r="BN83" i="14"/>
  <c r="BM83" i="14"/>
  <c r="BL83" i="14"/>
  <c r="BK83" i="14"/>
  <c r="BJ83" i="14"/>
  <c r="BI83" i="14"/>
  <c r="BH83" i="14"/>
  <c r="BF83" i="14"/>
  <c r="BE83" i="14"/>
  <c r="BD83" i="14"/>
  <c r="BC83" i="14"/>
  <c r="AA83" i="14"/>
  <c r="BG83" i="14" s="1"/>
  <c r="N83" i="14"/>
  <c r="BS82" i="14"/>
  <c r="BR82" i="14"/>
  <c r="BQ82" i="14"/>
  <c r="BP82" i="14"/>
  <c r="BO82" i="14"/>
  <c r="BN82" i="14"/>
  <c r="BM82" i="14"/>
  <c r="BL82" i="14"/>
  <c r="BK82" i="14"/>
  <c r="BJ82" i="14"/>
  <c r="BI82" i="14"/>
  <c r="BH82" i="14"/>
  <c r="BF82" i="14"/>
  <c r="BE82" i="14"/>
  <c r="BD82" i="14"/>
  <c r="BC82" i="14"/>
  <c r="AA82" i="14"/>
  <c r="BG82" i="14" s="1"/>
  <c r="N82" i="14"/>
  <c r="BS81" i="14"/>
  <c r="BR81" i="14"/>
  <c r="BQ81" i="14"/>
  <c r="BP81" i="14"/>
  <c r="BO81" i="14"/>
  <c r="BN81" i="14"/>
  <c r="BM81" i="14"/>
  <c r="BL81" i="14"/>
  <c r="BK81" i="14"/>
  <c r="BJ81" i="14"/>
  <c r="BI81" i="14"/>
  <c r="BH81" i="14"/>
  <c r="BF81" i="14"/>
  <c r="BE81" i="14"/>
  <c r="BD81" i="14"/>
  <c r="BC81" i="14"/>
  <c r="AA81" i="14"/>
  <c r="BG81" i="14" s="1"/>
  <c r="N81" i="14"/>
  <c r="BS80" i="14"/>
  <c r="BR80" i="14"/>
  <c r="BQ80" i="14"/>
  <c r="BP80" i="14"/>
  <c r="BO80" i="14"/>
  <c r="BN80" i="14"/>
  <c r="BM80" i="14"/>
  <c r="BL80" i="14"/>
  <c r="BK80" i="14"/>
  <c r="BJ80" i="14"/>
  <c r="BI80" i="14"/>
  <c r="BH80" i="14"/>
  <c r="BF80" i="14"/>
  <c r="BE80" i="14"/>
  <c r="BD80" i="14"/>
  <c r="BC80" i="14"/>
  <c r="AA80" i="14"/>
  <c r="BG80" i="14" s="1"/>
  <c r="N80" i="14"/>
  <c r="BS79" i="14"/>
  <c r="BR79" i="14"/>
  <c r="BQ79" i="14"/>
  <c r="BP79" i="14"/>
  <c r="BO79" i="14"/>
  <c r="BN79" i="14"/>
  <c r="BM79" i="14"/>
  <c r="BL79" i="14"/>
  <c r="BK79" i="14"/>
  <c r="BJ79" i="14"/>
  <c r="BI79" i="14"/>
  <c r="BH79" i="14"/>
  <c r="BF79" i="14"/>
  <c r="BE79" i="14"/>
  <c r="BD79" i="14"/>
  <c r="BC79" i="14"/>
  <c r="AA79" i="14"/>
  <c r="BG79" i="14" s="1"/>
  <c r="N79" i="14"/>
  <c r="BS78" i="14"/>
  <c r="BR78" i="14"/>
  <c r="BQ78" i="14"/>
  <c r="BP78" i="14"/>
  <c r="BO78" i="14"/>
  <c r="BN78" i="14"/>
  <c r="BM78" i="14"/>
  <c r="BL78" i="14"/>
  <c r="BK78" i="14"/>
  <c r="BJ78" i="14"/>
  <c r="BI78" i="14"/>
  <c r="BH78" i="14"/>
  <c r="BF78" i="14"/>
  <c r="BE78" i="14"/>
  <c r="BD78" i="14"/>
  <c r="BC78" i="14"/>
  <c r="AA78" i="14"/>
  <c r="BG78" i="14" s="1"/>
  <c r="N78" i="14"/>
  <c r="BS77" i="14"/>
  <c r="BR77" i="14"/>
  <c r="BQ77" i="14"/>
  <c r="BP77" i="14"/>
  <c r="BO77" i="14"/>
  <c r="BN77" i="14"/>
  <c r="BM77" i="14"/>
  <c r="BL77" i="14"/>
  <c r="BK77" i="14"/>
  <c r="BJ77" i="14"/>
  <c r="BI77" i="14"/>
  <c r="BH77" i="14"/>
  <c r="BF77" i="14"/>
  <c r="BE77" i="14"/>
  <c r="BD77" i="14"/>
  <c r="BC77" i="14"/>
  <c r="AA77" i="14"/>
  <c r="BG77" i="14" s="1"/>
  <c r="N77" i="14"/>
  <c r="BS76" i="14"/>
  <c r="BR76" i="14"/>
  <c r="BQ76" i="14"/>
  <c r="BP76" i="14"/>
  <c r="BO76" i="14"/>
  <c r="BN76" i="14"/>
  <c r="BM76" i="14"/>
  <c r="BL76" i="14"/>
  <c r="BK76" i="14"/>
  <c r="BJ76" i="14"/>
  <c r="BI76" i="14"/>
  <c r="BH76" i="14"/>
  <c r="BF76" i="14"/>
  <c r="BE76" i="14"/>
  <c r="BD76" i="14"/>
  <c r="BC76" i="14"/>
  <c r="AA76" i="14"/>
  <c r="BG76" i="14" s="1"/>
  <c r="N76" i="14"/>
  <c r="BS75" i="14"/>
  <c r="BR75" i="14"/>
  <c r="BQ75" i="14"/>
  <c r="BP75" i="14"/>
  <c r="BO75" i="14"/>
  <c r="BN75" i="14"/>
  <c r="BM75" i="14"/>
  <c r="BL75" i="14"/>
  <c r="BK75" i="14"/>
  <c r="BJ75" i="14"/>
  <c r="BI75" i="14"/>
  <c r="BH75" i="14"/>
  <c r="BF75" i="14"/>
  <c r="BE75" i="14"/>
  <c r="BD75" i="14"/>
  <c r="BC75" i="14"/>
  <c r="AA75" i="14"/>
  <c r="BG75" i="14" s="1"/>
  <c r="N75" i="14"/>
  <c r="BS74" i="14"/>
  <c r="BR74" i="14"/>
  <c r="BQ74" i="14"/>
  <c r="BP74" i="14"/>
  <c r="BO74" i="14"/>
  <c r="BN74" i="14"/>
  <c r="BM74" i="14"/>
  <c r="BL74" i="14"/>
  <c r="BK74" i="14"/>
  <c r="BJ74" i="14"/>
  <c r="BI74" i="14"/>
  <c r="BH74" i="14"/>
  <c r="BF74" i="14"/>
  <c r="BE74" i="14"/>
  <c r="BD74" i="14"/>
  <c r="BC74" i="14"/>
  <c r="AA74" i="14"/>
  <c r="BG74" i="14" s="1"/>
  <c r="N74" i="14"/>
  <c r="BS73" i="14"/>
  <c r="BR73" i="14"/>
  <c r="BQ73" i="14"/>
  <c r="BP73" i="14"/>
  <c r="BO73" i="14"/>
  <c r="BN73" i="14"/>
  <c r="BM73" i="14"/>
  <c r="BL73" i="14"/>
  <c r="BK73" i="14"/>
  <c r="BJ73" i="14"/>
  <c r="BI73" i="14"/>
  <c r="BH73" i="14"/>
  <c r="BF73" i="14"/>
  <c r="BE73" i="14"/>
  <c r="BD73" i="14"/>
  <c r="BC73" i="14"/>
  <c r="AA73" i="14"/>
  <c r="BG73" i="14" s="1"/>
  <c r="N73" i="14"/>
  <c r="BS72" i="14"/>
  <c r="BR72" i="14"/>
  <c r="BQ72" i="14"/>
  <c r="BP72" i="14"/>
  <c r="BO72" i="14"/>
  <c r="BN72" i="14"/>
  <c r="BM72" i="14"/>
  <c r="BL72" i="14"/>
  <c r="BK72" i="14"/>
  <c r="BJ72" i="14"/>
  <c r="BI72" i="14"/>
  <c r="BH72" i="14"/>
  <c r="BF72" i="14"/>
  <c r="BE72" i="14"/>
  <c r="BD72" i="14"/>
  <c r="BC72" i="14"/>
  <c r="AA72" i="14"/>
  <c r="BG72" i="14" s="1"/>
  <c r="N72" i="14"/>
  <c r="BS71" i="14"/>
  <c r="BR71" i="14"/>
  <c r="BQ71" i="14"/>
  <c r="BP71" i="14"/>
  <c r="BO71" i="14"/>
  <c r="BN71" i="14"/>
  <c r="BM71" i="14"/>
  <c r="BL71" i="14"/>
  <c r="BK71" i="14"/>
  <c r="BJ71" i="14"/>
  <c r="BI71" i="14"/>
  <c r="BH71" i="14"/>
  <c r="BF71" i="14"/>
  <c r="BE71" i="14"/>
  <c r="BD71" i="14"/>
  <c r="BC71" i="14"/>
  <c r="AA71" i="14"/>
  <c r="BG71" i="14" s="1"/>
  <c r="N71" i="14"/>
  <c r="BS70" i="14"/>
  <c r="BR70" i="14"/>
  <c r="BQ70" i="14"/>
  <c r="BP70" i="14"/>
  <c r="BO70" i="14"/>
  <c r="BN70" i="14"/>
  <c r="BM70" i="14"/>
  <c r="BL70" i="14"/>
  <c r="BK70" i="14"/>
  <c r="BJ70" i="14"/>
  <c r="BI70" i="14"/>
  <c r="BH70" i="14"/>
  <c r="BF70" i="14"/>
  <c r="BE70" i="14"/>
  <c r="BD70" i="14"/>
  <c r="BC70" i="14"/>
  <c r="AA70" i="14"/>
  <c r="BG70" i="14" s="1"/>
  <c r="N70" i="14"/>
  <c r="BS69" i="14"/>
  <c r="BR69" i="14"/>
  <c r="BQ69" i="14"/>
  <c r="BP69" i="14"/>
  <c r="BO69" i="14"/>
  <c r="BN69" i="14"/>
  <c r="BM69" i="14"/>
  <c r="BL69" i="14"/>
  <c r="BK69" i="14"/>
  <c r="BJ69" i="14"/>
  <c r="BI69" i="14"/>
  <c r="BH69" i="14"/>
  <c r="BF69" i="14"/>
  <c r="BE69" i="14"/>
  <c r="BD69" i="14"/>
  <c r="BC69" i="14"/>
  <c r="AA69" i="14"/>
  <c r="BG69" i="14" s="1"/>
  <c r="N69" i="14"/>
  <c r="BS68" i="14"/>
  <c r="BR68" i="14"/>
  <c r="BQ68" i="14"/>
  <c r="BP68" i="14"/>
  <c r="BO68" i="14"/>
  <c r="BN68" i="14"/>
  <c r="BM68" i="14"/>
  <c r="BL68" i="14"/>
  <c r="BK68" i="14"/>
  <c r="BJ68" i="14"/>
  <c r="BI68" i="14"/>
  <c r="BH68" i="14"/>
  <c r="BF68" i="14"/>
  <c r="BE68" i="14"/>
  <c r="BD68" i="14"/>
  <c r="BC68" i="14"/>
  <c r="AA68" i="14"/>
  <c r="BG68" i="14" s="1"/>
  <c r="N68" i="14"/>
  <c r="BS67" i="14"/>
  <c r="BR67" i="14"/>
  <c r="BQ67" i="14"/>
  <c r="BP67" i="14"/>
  <c r="BO67" i="14"/>
  <c r="BN67" i="14"/>
  <c r="BM67" i="14"/>
  <c r="BL67" i="14"/>
  <c r="BK67" i="14"/>
  <c r="BJ67" i="14"/>
  <c r="BI67" i="14"/>
  <c r="BH67" i="14"/>
  <c r="BF67" i="14"/>
  <c r="BE67" i="14"/>
  <c r="BD67" i="14"/>
  <c r="BC67" i="14"/>
  <c r="AA67" i="14"/>
  <c r="BG67" i="14" s="1"/>
  <c r="N67" i="14"/>
  <c r="BS66" i="14"/>
  <c r="BR66" i="14"/>
  <c r="BQ66" i="14"/>
  <c r="BP66" i="14"/>
  <c r="BO66" i="14"/>
  <c r="BN66" i="14"/>
  <c r="BM66" i="14"/>
  <c r="BL66" i="14"/>
  <c r="BK66" i="14"/>
  <c r="BJ66" i="14"/>
  <c r="BI66" i="14"/>
  <c r="BH66" i="14"/>
  <c r="BF66" i="14"/>
  <c r="BE66" i="14"/>
  <c r="BD66" i="14"/>
  <c r="BC66" i="14"/>
  <c r="AA66" i="14"/>
  <c r="BG66" i="14" s="1"/>
  <c r="N66" i="14"/>
  <c r="BS65" i="14"/>
  <c r="BR65" i="14"/>
  <c r="BQ65" i="14"/>
  <c r="BP65" i="14"/>
  <c r="BO65" i="14"/>
  <c r="BN65" i="14"/>
  <c r="BM65" i="14"/>
  <c r="BL65" i="14"/>
  <c r="BK65" i="14"/>
  <c r="BJ65" i="14"/>
  <c r="BI65" i="14"/>
  <c r="BH65" i="14"/>
  <c r="BF65" i="14"/>
  <c r="BE65" i="14"/>
  <c r="BD65" i="14"/>
  <c r="BC65" i="14"/>
  <c r="AA65" i="14"/>
  <c r="BG65" i="14" s="1"/>
  <c r="N65" i="14"/>
  <c r="BS64" i="14"/>
  <c r="BR64" i="14"/>
  <c r="BQ64" i="14"/>
  <c r="BP64" i="14"/>
  <c r="BO64" i="14"/>
  <c r="BN64" i="14"/>
  <c r="BM64" i="14"/>
  <c r="BL64" i="14"/>
  <c r="BK64" i="14"/>
  <c r="BJ64" i="14"/>
  <c r="BI64" i="14"/>
  <c r="BH64" i="14"/>
  <c r="BF64" i="14"/>
  <c r="BE64" i="14"/>
  <c r="BD64" i="14"/>
  <c r="BC64" i="14"/>
  <c r="AA64" i="14"/>
  <c r="BG64" i="14" s="1"/>
  <c r="N64" i="14"/>
  <c r="BS63" i="14"/>
  <c r="BR63" i="14"/>
  <c r="BQ63" i="14"/>
  <c r="BP63" i="14"/>
  <c r="BO63" i="14"/>
  <c r="BN63" i="14"/>
  <c r="BM63" i="14"/>
  <c r="BL63" i="14"/>
  <c r="BK63" i="14"/>
  <c r="BJ63" i="14"/>
  <c r="BI63" i="14"/>
  <c r="BH63" i="14"/>
  <c r="BF63" i="14"/>
  <c r="BE63" i="14"/>
  <c r="BD63" i="14"/>
  <c r="BC63" i="14"/>
  <c r="AA63" i="14"/>
  <c r="BG63" i="14" s="1"/>
  <c r="N63" i="14"/>
  <c r="BS62" i="14"/>
  <c r="BR62" i="14"/>
  <c r="BQ62" i="14"/>
  <c r="BP62" i="14"/>
  <c r="BO62" i="14"/>
  <c r="BN62" i="14"/>
  <c r="BM62" i="14"/>
  <c r="BL62" i="14"/>
  <c r="BK62" i="14"/>
  <c r="BJ62" i="14"/>
  <c r="BI62" i="14"/>
  <c r="BH62" i="14"/>
  <c r="BF62" i="14"/>
  <c r="BE62" i="14"/>
  <c r="BD62" i="14"/>
  <c r="BC62" i="14"/>
  <c r="AA62" i="14"/>
  <c r="BG62" i="14" s="1"/>
  <c r="N62" i="14"/>
  <c r="BS61" i="14"/>
  <c r="BR61" i="14"/>
  <c r="BQ61" i="14"/>
  <c r="BP61" i="14"/>
  <c r="BO61" i="14"/>
  <c r="BN61" i="14"/>
  <c r="BM61" i="14"/>
  <c r="BL61" i="14"/>
  <c r="BK61" i="14"/>
  <c r="BJ61" i="14"/>
  <c r="BI61" i="14"/>
  <c r="BH61" i="14"/>
  <c r="BF61" i="14"/>
  <c r="BE61" i="14"/>
  <c r="BD61" i="14"/>
  <c r="BC61" i="14"/>
  <c r="AA61" i="14"/>
  <c r="BG61" i="14" s="1"/>
  <c r="N61" i="14"/>
  <c r="BS60" i="14"/>
  <c r="BR60" i="14"/>
  <c r="BQ60" i="14"/>
  <c r="BP60" i="14"/>
  <c r="BO60" i="14"/>
  <c r="BN60" i="14"/>
  <c r="BM60" i="14"/>
  <c r="BL60" i="14"/>
  <c r="BK60" i="14"/>
  <c r="BJ60" i="14"/>
  <c r="BI60" i="14"/>
  <c r="BH60" i="14"/>
  <c r="BF60" i="14"/>
  <c r="BE60" i="14"/>
  <c r="BD60" i="14"/>
  <c r="BC60" i="14"/>
  <c r="AA60" i="14"/>
  <c r="BG60" i="14" s="1"/>
  <c r="N60" i="14"/>
  <c r="BS59" i="14"/>
  <c r="BR59" i="14"/>
  <c r="BQ59" i="14"/>
  <c r="BP59" i="14"/>
  <c r="BO59" i="14"/>
  <c r="BN59" i="14"/>
  <c r="BM59" i="14"/>
  <c r="BL59" i="14"/>
  <c r="BK59" i="14"/>
  <c r="BJ59" i="14"/>
  <c r="BI59" i="14"/>
  <c r="BH59" i="14"/>
  <c r="BF59" i="14"/>
  <c r="BE59" i="14"/>
  <c r="BD59" i="14"/>
  <c r="BC59" i="14"/>
  <c r="AA59" i="14"/>
  <c r="BG59" i="14" s="1"/>
  <c r="N59" i="14"/>
  <c r="BS58" i="14"/>
  <c r="BR58" i="14"/>
  <c r="BQ58" i="14"/>
  <c r="BP58" i="14"/>
  <c r="BO58" i="14"/>
  <c r="BN58" i="14"/>
  <c r="BM58" i="14"/>
  <c r="BL58" i="14"/>
  <c r="BK58" i="14"/>
  <c r="BJ58" i="14"/>
  <c r="BI58" i="14"/>
  <c r="BH58" i="14"/>
  <c r="BF58" i="14"/>
  <c r="BE58" i="14"/>
  <c r="BD58" i="14"/>
  <c r="BC58" i="14"/>
  <c r="AA58" i="14"/>
  <c r="BG58" i="14" s="1"/>
  <c r="N58" i="14"/>
  <c r="BS57" i="14"/>
  <c r="BR57" i="14"/>
  <c r="BQ57" i="14"/>
  <c r="BP57" i="14"/>
  <c r="BO57" i="14"/>
  <c r="BN57" i="14"/>
  <c r="BM57" i="14"/>
  <c r="BL57" i="14"/>
  <c r="BK57" i="14"/>
  <c r="BJ57" i="14"/>
  <c r="BI57" i="14"/>
  <c r="BH57" i="14"/>
  <c r="BF57" i="14"/>
  <c r="BE57" i="14"/>
  <c r="BD57" i="14"/>
  <c r="BC57" i="14"/>
  <c r="AA57" i="14"/>
  <c r="BG57" i="14" s="1"/>
  <c r="N57" i="14"/>
  <c r="BS56" i="14"/>
  <c r="BR56" i="14"/>
  <c r="BQ56" i="14"/>
  <c r="BP56" i="14"/>
  <c r="BO56" i="14"/>
  <c r="BN56" i="14"/>
  <c r="BM56" i="14"/>
  <c r="BL56" i="14"/>
  <c r="BK56" i="14"/>
  <c r="BJ56" i="14"/>
  <c r="BI56" i="14"/>
  <c r="BH56" i="14"/>
  <c r="BF56" i="14"/>
  <c r="BE56" i="14"/>
  <c r="BD56" i="14"/>
  <c r="BC56" i="14"/>
  <c r="AA56" i="14"/>
  <c r="BG56" i="14" s="1"/>
  <c r="N56" i="14"/>
  <c r="BS55" i="14"/>
  <c r="BR55" i="14"/>
  <c r="BQ55" i="14"/>
  <c r="BP55" i="14"/>
  <c r="BO55" i="14"/>
  <c r="BN55" i="14"/>
  <c r="BM55" i="14"/>
  <c r="BL55" i="14"/>
  <c r="BK55" i="14"/>
  <c r="BJ55" i="14"/>
  <c r="BI55" i="14"/>
  <c r="BH55" i="14"/>
  <c r="BF55" i="14"/>
  <c r="BE55" i="14"/>
  <c r="BD55" i="14"/>
  <c r="BC55" i="14"/>
  <c r="AA55" i="14"/>
  <c r="BG55" i="14" s="1"/>
  <c r="N55" i="14"/>
  <c r="BS54" i="14"/>
  <c r="BR54" i="14"/>
  <c r="BQ54" i="14"/>
  <c r="BP54" i="14"/>
  <c r="BO54" i="14"/>
  <c r="BN54" i="14"/>
  <c r="BM54" i="14"/>
  <c r="BL54" i="14"/>
  <c r="BK54" i="14"/>
  <c r="BJ54" i="14"/>
  <c r="BI54" i="14"/>
  <c r="BH54" i="14"/>
  <c r="BF54" i="14"/>
  <c r="BE54" i="14"/>
  <c r="BD54" i="14"/>
  <c r="BC54" i="14"/>
  <c r="AA54" i="14"/>
  <c r="BG54" i="14" s="1"/>
  <c r="N54" i="14"/>
  <c r="BS53" i="14"/>
  <c r="BR53" i="14"/>
  <c r="BQ53" i="14"/>
  <c r="BP53" i="14"/>
  <c r="BO53" i="14"/>
  <c r="BN53" i="14"/>
  <c r="BM53" i="14"/>
  <c r="BL53" i="14"/>
  <c r="BK53" i="14"/>
  <c r="BJ53" i="14"/>
  <c r="BI53" i="14"/>
  <c r="BH53" i="14"/>
  <c r="BF53" i="14"/>
  <c r="BE53" i="14"/>
  <c r="BD53" i="14"/>
  <c r="BC53" i="14"/>
  <c r="AA53" i="14"/>
  <c r="BG53" i="14" s="1"/>
  <c r="N53" i="14"/>
  <c r="BS52" i="14"/>
  <c r="BR52" i="14"/>
  <c r="BQ52" i="14"/>
  <c r="BP52" i="14"/>
  <c r="BO52" i="14"/>
  <c r="BN52" i="14"/>
  <c r="BM52" i="14"/>
  <c r="BL52" i="14"/>
  <c r="BK52" i="14"/>
  <c r="BJ52" i="14"/>
  <c r="BI52" i="14"/>
  <c r="BH52" i="14"/>
  <c r="BF52" i="14"/>
  <c r="BE52" i="14"/>
  <c r="BD52" i="14"/>
  <c r="BC52" i="14"/>
  <c r="AA52" i="14"/>
  <c r="BG52" i="14" s="1"/>
  <c r="N52" i="14"/>
  <c r="BS51" i="14"/>
  <c r="BR51" i="14"/>
  <c r="BQ51" i="14"/>
  <c r="BP51" i="14"/>
  <c r="BO51" i="14"/>
  <c r="BN51" i="14"/>
  <c r="BM51" i="14"/>
  <c r="BL51" i="14"/>
  <c r="BK51" i="14"/>
  <c r="BJ51" i="14"/>
  <c r="BI51" i="14"/>
  <c r="BH51" i="14"/>
  <c r="BG51" i="14"/>
  <c r="BF51" i="14"/>
  <c r="BE51" i="14"/>
  <c r="BD51" i="14"/>
  <c r="BC51" i="14"/>
  <c r="AA51" i="14"/>
  <c r="N51" i="14"/>
  <c r="BS50" i="14"/>
  <c r="BR50" i="14"/>
  <c r="BQ50" i="14"/>
  <c r="BP50" i="14"/>
  <c r="BO50" i="14"/>
  <c r="BN50" i="14"/>
  <c r="BM50" i="14"/>
  <c r="BL50" i="14"/>
  <c r="BK50" i="14"/>
  <c r="BJ50" i="14"/>
  <c r="BI50" i="14"/>
  <c r="BH50" i="14"/>
  <c r="BF50" i="14"/>
  <c r="BE50" i="14"/>
  <c r="BD50" i="14"/>
  <c r="BC50" i="14"/>
  <c r="AA50" i="14"/>
  <c r="BG50" i="14" s="1"/>
  <c r="N50" i="14"/>
  <c r="BS49" i="14"/>
  <c r="BR49" i="14"/>
  <c r="BQ49" i="14"/>
  <c r="BP49" i="14"/>
  <c r="BO49" i="14"/>
  <c r="BN49" i="14"/>
  <c r="BM49" i="14"/>
  <c r="BL49" i="14"/>
  <c r="BK49" i="14"/>
  <c r="BJ49" i="14"/>
  <c r="BI49" i="14"/>
  <c r="BH49" i="14"/>
  <c r="BF49" i="14"/>
  <c r="BE49" i="14"/>
  <c r="BD49" i="14"/>
  <c r="BC49" i="14"/>
  <c r="AA49" i="14"/>
  <c r="BG49" i="14" s="1"/>
  <c r="N49" i="14"/>
  <c r="BS48" i="14"/>
  <c r="BR48" i="14"/>
  <c r="BQ48" i="14"/>
  <c r="BP48" i="14"/>
  <c r="BO48" i="14"/>
  <c r="BN48" i="14"/>
  <c r="BM48" i="14"/>
  <c r="BL48" i="14"/>
  <c r="BK48" i="14"/>
  <c r="BJ48" i="14"/>
  <c r="BI48" i="14"/>
  <c r="BH48" i="14"/>
  <c r="BF48" i="14"/>
  <c r="BE48" i="14"/>
  <c r="BD48" i="14"/>
  <c r="BC48" i="14"/>
  <c r="AA48" i="14"/>
  <c r="BG48" i="14" s="1"/>
  <c r="N48" i="14"/>
  <c r="BS47" i="14"/>
  <c r="BR47" i="14"/>
  <c r="BQ47" i="14"/>
  <c r="BP47" i="14"/>
  <c r="BO47" i="14"/>
  <c r="BN47" i="14"/>
  <c r="BM47" i="14"/>
  <c r="BL47" i="14"/>
  <c r="BK47" i="14"/>
  <c r="BJ47" i="14"/>
  <c r="BI47" i="14"/>
  <c r="BH47" i="14"/>
  <c r="BF47" i="14"/>
  <c r="BE47" i="14"/>
  <c r="BD47" i="14"/>
  <c r="BC47" i="14"/>
  <c r="AA47" i="14"/>
  <c r="BG47" i="14" s="1"/>
  <c r="N47" i="14"/>
  <c r="BS46" i="14"/>
  <c r="BR46" i="14"/>
  <c r="BQ46" i="14"/>
  <c r="BP46" i="14"/>
  <c r="BO46" i="14"/>
  <c r="BN46" i="14"/>
  <c r="BM46" i="14"/>
  <c r="BL46" i="14"/>
  <c r="BK46" i="14"/>
  <c r="BJ46" i="14"/>
  <c r="BI46" i="14"/>
  <c r="BH46" i="14"/>
  <c r="BF46" i="14"/>
  <c r="BE46" i="14"/>
  <c r="BD46" i="14"/>
  <c r="BC46" i="14"/>
  <c r="AA46" i="14"/>
  <c r="BG46" i="14" s="1"/>
  <c r="N46" i="14"/>
  <c r="BS45" i="14"/>
  <c r="BR45" i="14"/>
  <c r="BQ45" i="14"/>
  <c r="BP45" i="14"/>
  <c r="BO45" i="14"/>
  <c r="BN45" i="14"/>
  <c r="BM45" i="14"/>
  <c r="BL45" i="14"/>
  <c r="BK45" i="14"/>
  <c r="BJ45" i="14"/>
  <c r="BI45" i="14"/>
  <c r="BH45" i="14"/>
  <c r="BF45" i="14"/>
  <c r="BE45" i="14"/>
  <c r="BD45" i="14"/>
  <c r="BC45" i="14"/>
  <c r="AA45" i="14"/>
  <c r="BG45" i="14" s="1"/>
  <c r="N45" i="14"/>
  <c r="BS44" i="14"/>
  <c r="BR44" i="14"/>
  <c r="BQ44" i="14"/>
  <c r="BP44" i="14"/>
  <c r="BO44" i="14"/>
  <c r="BN44" i="14"/>
  <c r="BM44" i="14"/>
  <c r="BL44" i="14"/>
  <c r="BK44" i="14"/>
  <c r="BJ44" i="14"/>
  <c r="BI44" i="14"/>
  <c r="BH44" i="14"/>
  <c r="BF44" i="14"/>
  <c r="BE44" i="14"/>
  <c r="BD44" i="14"/>
  <c r="BC44" i="14"/>
  <c r="AA44" i="14"/>
  <c r="BG44" i="14" s="1"/>
  <c r="N44" i="14"/>
  <c r="BS43" i="14"/>
  <c r="BR43" i="14"/>
  <c r="BQ43" i="14"/>
  <c r="BP43" i="14"/>
  <c r="BO43" i="14"/>
  <c r="BN43" i="14"/>
  <c r="BM43" i="14"/>
  <c r="BL43" i="14"/>
  <c r="BK43" i="14"/>
  <c r="BJ43" i="14"/>
  <c r="BI43" i="14"/>
  <c r="BH43" i="14"/>
  <c r="BF43" i="14"/>
  <c r="BE43" i="14"/>
  <c r="BD43" i="14"/>
  <c r="BC43" i="14"/>
  <c r="AA43" i="14"/>
  <c r="BG43" i="14" s="1"/>
  <c r="N43" i="14"/>
  <c r="BS42" i="14"/>
  <c r="BR42" i="14"/>
  <c r="BQ42" i="14"/>
  <c r="BP42" i="14"/>
  <c r="BO42" i="14"/>
  <c r="BN42" i="14"/>
  <c r="BM42" i="14"/>
  <c r="BL42" i="14"/>
  <c r="BK42" i="14"/>
  <c r="BJ42" i="14"/>
  <c r="BI42" i="14"/>
  <c r="BH42" i="14"/>
  <c r="BF42" i="14"/>
  <c r="BE42" i="14"/>
  <c r="BD42" i="14"/>
  <c r="BC42" i="14"/>
  <c r="AA42" i="14"/>
  <c r="BG42" i="14" s="1"/>
  <c r="N42" i="14"/>
  <c r="BS41" i="14"/>
  <c r="BR41" i="14"/>
  <c r="BQ41" i="14"/>
  <c r="BP41" i="14"/>
  <c r="BO41" i="14"/>
  <c r="BN41" i="14"/>
  <c r="BM41" i="14"/>
  <c r="BL41" i="14"/>
  <c r="BK41" i="14"/>
  <c r="BJ41" i="14"/>
  <c r="BI41" i="14"/>
  <c r="BH41" i="14"/>
  <c r="BF41" i="14"/>
  <c r="BE41" i="14"/>
  <c r="BD41" i="14"/>
  <c r="BC41" i="14"/>
  <c r="AA41" i="14"/>
  <c r="BG41" i="14" s="1"/>
  <c r="N41" i="14"/>
  <c r="BS40" i="14"/>
  <c r="BR40" i="14"/>
  <c r="BQ40" i="14"/>
  <c r="BP40" i="14"/>
  <c r="BO40" i="14"/>
  <c r="BN40" i="14"/>
  <c r="BM40" i="14"/>
  <c r="BL40" i="14"/>
  <c r="BK40" i="14"/>
  <c r="BJ40" i="14"/>
  <c r="BI40" i="14"/>
  <c r="BH40" i="14"/>
  <c r="BF40" i="14"/>
  <c r="BE40" i="14"/>
  <c r="BD40" i="14"/>
  <c r="BC40" i="14"/>
  <c r="AA40" i="14"/>
  <c r="BG40" i="14" s="1"/>
  <c r="N40" i="14"/>
  <c r="BS39" i="14"/>
  <c r="BR39" i="14"/>
  <c r="BQ39" i="14"/>
  <c r="BP39" i="14"/>
  <c r="BO39" i="14"/>
  <c r="BN39" i="14"/>
  <c r="BM39" i="14"/>
  <c r="BL39" i="14"/>
  <c r="BK39" i="14"/>
  <c r="BJ39" i="14"/>
  <c r="BI39" i="14"/>
  <c r="BH39" i="14"/>
  <c r="BF39" i="14"/>
  <c r="BE39" i="14"/>
  <c r="BD39" i="14"/>
  <c r="BC39" i="14"/>
  <c r="AA39" i="14"/>
  <c r="BG39" i="14" s="1"/>
  <c r="N39" i="14"/>
  <c r="BS38" i="14"/>
  <c r="BR38" i="14"/>
  <c r="BQ38" i="14"/>
  <c r="BP38" i="14"/>
  <c r="BO38" i="14"/>
  <c r="BN38" i="14"/>
  <c r="BM38" i="14"/>
  <c r="BL38" i="14"/>
  <c r="BK38" i="14"/>
  <c r="BJ38" i="14"/>
  <c r="BI38" i="14"/>
  <c r="BH38" i="14"/>
  <c r="BF38" i="14"/>
  <c r="BE38" i="14"/>
  <c r="BD38" i="14"/>
  <c r="BC38" i="14"/>
  <c r="AA38" i="14"/>
  <c r="BG38" i="14" s="1"/>
  <c r="N38" i="14"/>
  <c r="BS37" i="14"/>
  <c r="BR37" i="14"/>
  <c r="BQ37" i="14"/>
  <c r="BP37" i="14"/>
  <c r="BO37" i="14"/>
  <c r="BN37" i="14"/>
  <c r="BM37" i="14"/>
  <c r="BL37" i="14"/>
  <c r="BK37" i="14"/>
  <c r="BJ37" i="14"/>
  <c r="BI37" i="14"/>
  <c r="BH37" i="14"/>
  <c r="BF37" i="14"/>
  <c r="BE37" i="14"/>
  <c r="BD37" i="14"/>
  <c r="BC37" i="14"/>
  <c r="AA37" i="14"/>
  <c r="BG37" i="14" s="1"/>
  <c r="N37" i="14"/>
  <c r="BS36" i="14"/>
  <c r="BR36" i="14"/>
  <c r="BQ36" i="14"/>
  <c r="BP36" i="14"/>
  <c r="BO36" i="14"/>
  <c r="BN36" i="14"/>
  <c r="BM36" i="14"/>
  <c r="BL36" i="14"/>
  <c r="BK36" i="14"/>
  <c r="BJ36" i="14"/>
  <c r="BI36" i="14"/>
  <c r="BH36" i="14"/>
  <c r="BF36" i="14"/>
  <c r="BE36" i="14"/>
  <c r="BD36" i="14"/>
  <c r="BC36" i="14"/>
  <c r="AA36" i="14"/>
  <c r="BG36" i="14" s="1"/>
  <c r="N36" i="14"/>
  <c r="BS35" i="14"/>
  <c r="BR35" i="14"/>
  <c r="BQ35" i="14"/>
  <c r="BP35" i="14"/>
  <c r="BO35" i="14"/>
  <c r="BN35" i="14"/>
  <c r="BM35" i="14"/>
  <c r="BL35" i="14"/>
  <c r="BK35" i="14"/>
  <c r="BJ35" i="14"/>
  <c r="BI35" i="14"/>
  <c r="BH35" i="14"/>
  <c r="BF35" i="14"/>
  <c r="BE35" i="14"/>
  <c r="BD35" i="14"/>
  <c r="BC35" i="14"/>
  <c r="AA35" i="14"/>
  <c r="BG35" i="14" s="1"/>
  <c r="N35" i="14"/>
  <c r="BS34" i="14"/>
  <c r="BR34" i="14"/>
  <c r="BQ34" i="14"/>
  <c r="BP34" i="14"/>
  <c r="BO34" i="14"/>
  <c r="BN34" i="14"/>
  <c r="BM34" i="14"/>
  <c r="BL34" i="14"/>
  <c r="BK34" i="14"/>
  <c r="BJ34" i="14"/>
  <c r="BI34" i="14"/>
  <c r="BH34" i="14"/>
  <c r="BF34" i="14"/>
  <c r="BE34" i="14"/>
  <c r="BD34" i="14"/>
  <c r="BC34" i="14"/>
  <c r="AA34" i="14"/>
  <c r="BG34" i="14" s="1"/>
  <c r="N34" i="14"/>
  <c r="BS33" i="14"/>
  <c r="BR33" i="14"/>
  <c r="BQ33" i="14"/>
  <c r="BP33" i="14"/>
  <c r="BO33" i="14"/>
  <c r="BN33" i="14"/>
  <c r="BM33" i="14"/>
  <c r="BL33" i="14"/>
  <c r="BK33" i="14"/>
  <c r="BJ33" i="14"/>
  <c r="BI33" i="14"/>
  <c r="BH33" i="14"/>
  <c r="BF33" i="14"/>
  <c r="BE33" i="14"/>
  <c r="BD33" i="14"/>
  <c r="BC33" i="14"/>
  <c r="AA33" i="14"/>
  <c r="BG33" i="14" s="1"/>
  <c r="N33" i="14"/>
  <c r="BS32" i="14"/>
  <c r="BR32" i="14"/>
  <c r="BQ32" i="14"/>
  <c r="BP32" i="14"/>
  <c r="BO32" i="14"/>
  <c r="BN32" i="14"/>
  <c r="BM32" i="14"/>
  <c r="BL32" i="14"/>
  <c r="BK32" i="14"/>
  <c r="BJ32" i="14"/>
  <c r="BI32" i="14"/>
  <c r="BH32" i="14"/>
  <c r="BF32" i="14"/>
  <c r="BE32" i="14"/>
  <c r="BD32" i="14"/>
  <c r="BC32" i="14"/>
  <c r="AA32" i="14"/>
  <c r="BG32" i="14" s="1"/>
  <c r="N32" i="14"/>
  <c r="BS31" i="14"/>
  <c r="BR31" i="14"/>
  <c r="BQ31" i="14"/>
  <c r="BP31" i="14"/>
  <c r="BO31" i="14"/>
  <c r="BN31" i="14"/>
  <c r="BM31" i="14"/>
  <c r="BL31" i="14"/>
  <c r="BK31" i="14"/>
  <c r="BJ31" i="14"/>
  <c r="BI31" i="14"/>
  <c r="BH31" i="14"/>
  <c r="BF31" i="14"/>
  <c r="BE31" i="14"/>
  <c r="BD31" i="14"/>
  <c r="BC31" i="14"/>
  <c r="AA31" i="14"/>
  <c r="BG31" i="14" s="1"/>
  <c r="N31" i="14"/>
  <c r="BS30" i="14"/>
  <c r="BR30" i="14"/>
  <c r="BQ30" i="14"/>
  <c r="BP30" i="14"/>
  <c r="BO30" i="14"/>
  <c r="BN30" i="14"/>
  <c r="BM30" i="14"/>
  <c r="BL30" i="14"/>
  <c r="BK30" i="14"/>
  <c r="BJ30" i="14"/>
  <c r="BI30" i="14"/>
  <c r="BH30" i="14"/>
  <c r="BF30" i="14"/>
  <c r="BE30" i="14"/>
  <c r="BD30" i="14"/>
  <c r="BC30" i="14"/>
  <c r="AA30" i="14"/>
  <c r="BG30" i="14" s="1"/>
  <c r="N30" i="14"/>
  <c r="BS29" i="14"/>
  <c r="BR29" i="14"/>
  <c r="BQ29" i="14"/>
  <c r="BP29" i="14"/>
  <c r="BO29" i="14"/>
  <c r="BN29" i="14"/>
  <c r="BM29" i="14"/>
  <c r="BL29" i="14"/>
  <c r="BK29" i="14"/>
  <c r="BJ29" i="14"/>
  <c r="BI29" i="14"/>
  <c r="BH29" i="14"/>
  <c r="BF29" i="14"/>
  <c r="BE29" i="14"/>
  <c r="BD29" i="14"/>
  <c r="BC29" i="14"/>
  <c r="AA29" i="14"/>
  <c r="BG29" i="14" s="1"/>
  <c r="N29" i="14"/>
  <c r="BS28" i="14"/>
  <c r="BR28" i="14"/>
  <c r="BQ28" i="14"/>
  <c r="BP28" i="14"/>
  <c r="BO28" i="14"/>
  <c r="BN28" i="14"/>
  <c r="BM28" i="14"/>
  <c r="BL28" i="14"/>
  <c r="BK28" i="14"/>
  <c r="BJ28" i="14"/>
  <c r="BI28" i="14"/>
  <c r="BH28" i="14"/>
  <c r="BF28" i="14"/>
  <c r="BE28" i="14"/>
  <c r="BD28" i="14"/>
  <c r="BC28" i="14"/>
  <c r="AA28" i="14"/>
  <c r="BG28" i="14" s="1"/>
  <c r="N28" i="14"/>
  <c r="BS27" i="14"/>
  <c r="BR27" i="14"/>
  <c r="BQ27" i="14"/>
  <c r="BP27" i="14"/>
  <c r="BO27" i="14"/>
  <c r="BN27" i="14"/>
  <c r="BM27" i="14"/>
  <c r="BL27" i="14"/>
  <c r="BK27" i="14"/>
  <c r="BJ27" i="14"/>
  <c r="BI27" i="14"/>
  <c r="BH27" i="14"/>
  <c r="BF27" i="14"/>
  <c r="BE27" i="14"/>
  <c r="BD27" i="14"/>
  <c r="BC27" i="14"/>
  <c r="AA27" i="14"/>
  <c r="BG27" i="14" s="1"/>
  <c r="N27" i="14"/>
  <c r="BS26" i="14"/>
  <c r="BR26" i="14"/>
  <c r="BQ26" i="14"/>
  <c r="BP26" i="14"/>
  <c r="BO26" i="14"/>
  <c r="BN26" i="14"/>
  <c r="BM26" i="14"/>
  <c r="BL26" i="14"/>
  <c r="BK26" i="14"/>
  <c r="BJ26" i="14"/>
  <c r="BI26" i="14"/>
  <c r="BH26" i="14"/>
  <c r="BF26" i="14"/>
  <c r="BE26" i="14"/>
  <c r="BD26" i="14"/>
  <c r="BC26" i="14"/>
  <c r="AA26" i="14"/>
  <c r="BG26" i="14" s="1"/>
  <c r="N26" i="14"/>
  <c r="BS25" i="14"/>
  <c r="BR25" i="14"/>
  <c r="BQ25" i="14"/>
  <c r="BP25" i="14"/>
  <c r="BO25" i="14"/>
  <c r="BN25" i="14"/>
  <c r="BM25" i="14"/>
  <c r="BL25" i="14"/>
  <c r="BK25" i="14"/>
  <c r="BJ25" i="14"/>
  <c r="BI25" i="14"/>
  <c r="BH25" i="14"/>
  <c r="BF25" i="14"/>
  <c r="BE25" i="14"/>
  <c r="BD25" i="14"/>
  <c r="BC25" i="14"/>
  <c r="AA25" i="14"/>
  <c r="BG25" i="14" s="1"/>
  <c r="N25" i="14"/>
  <c r="BS24" i="14"/>
  <c r="BR24" i="14"/>
  <c r="BQ24" i="14"/>
  <c r="BP24" i="14"/>
  <c r="BO24" i="14"/>
  <c r="BN24" i="14"/>
  <c r="BM24" i="14"/>
  <c r="BL24" i="14"/>
  <c r="BK24" i="14"/>
  <c r="BJ24" i="14"/>
  <c r="BI24" i="14"/>
  <c r="BH24" i="14"/>
  <c r="BF24" i="14"/>
  <c r="BE24" i="14"/>
  <c r="BD24" i="14"/>
  <c r="BC24" i="14"/>
  <c r="AA24" i="14"/>
  <c r="BG24" i="14" s="1"/>
  <c r="N24" i="14"/>
  <c r="BS23" i="14"/>
  <c r="BR23" i="14"/>
  <c r="BQ23" i="14"/>
  <c r="BP23" i="14"/>
  <c r="BO23" i="14"/>
  <c r="BN23" i="14"/>
  <c r="BM23" i="14"/>
  <c r="BL23" i="14"/>
  <c r="BK23" i="14"/>
  <c r="BJ23" i="14"/>
  <c r="BI23" i="14"/>
  <c r="BH23" i="14"/>
  <c r="BF23" i="14"/>
  <c r="BE23" i="14"/>
  <c r="BD23" i="14"/>
  <c r="BC23" i="14"/>
  <c r="AA23" i="14"/>
  <c r="BG23" i="14" s="1"/>
  <c r="N23" i="14"/>
  <c r="BS22" i="14"/>
  <c r="BR22" i="14"/>
  <c r="BQ22" i="14"/>
  <c r="BP22" i="14"/>
  <c r="BO22" i="14"/>
  <c r="BN22" i="14"/>
  <c r="BM22" i="14"/>
  <c r="BL22" i="14"/>
  <c r="BK22" i="14"/>
  <c r="BJ22" i="14"/>
  <c r="BI22" i="14"/>
  <c r="BH22" i="14"/>
  <c r="BF22" i="14"/>
  <c r="BE22" i="14"/>
  <c r="BD22" i="14"/>
  <c r="BC22" i="14"/>
  <c r="AA22" i="14"/>
  <c r="BG22" i="14" s="1"/>
  <c r="N22" i="14"/>
  <c r="BS21" i="14"/>
  <c r="BR21" i="14"/>
  <c r="BQ21" i="14"/>
  <c r="BP21" i="14"/>
  <c r="BO21" i="14"/>
  <c r="BN21" i="14"/>
  <c r="BM21" i="14"/>
  <c r="BL21" i="14"/>
  <c r="BK21" i="14"/>
  <c r="BJ21" i="14"/>
  <c r="BI21" i="14"/>
  <c r="BH21" i="14"/>
  <c r="BF21" i="14"/>
  <c r="BE21" i="14"/>
  <c r="BD21" i="14"/>
  <c r="BC21" i="14"/>
  <c r="AA21" i="14"/>
  <c r="BG21" i="14" s="1"/>
  <c r="N21" i="14"/>
  <c r="BS20" i="14"/>
  <c r="BR20" i="14"/>
  <c r="BQ20" i="14"/>
  <c r="BP20" i="14"/>
  <c r="BO20" i="14"/>
  <c r="BN20" i="14"/>
  <c r="BM20" i="14"/>
  <c r="BL20" i="14"/>
  <c r="BK20" i="14"/>
  <c r="BJ20" i="14"/>
  <c r="BI20" i="14"/>
  <c r="BH20" i="14"/>
  <c r="BF20" i="14"/>
  <c r="BE20" i="14"/>
  <c r="BD20" i="14"/>
  <c r="BC20" i="14"/>
  <c r="AA20" i="14"/>
  <c r="BG20" i="14" s="1"/>
  <c r="N20" i="14"/>
  <c r="BS19" i="14"/>
  <c r="BR19" i="14"/>
  <c r="BQ19" i="14"/>
  <c r="BP19" i="14"/>
  <c r="BO19" i="14"/>
  <c r="BN19" i="14"/>
  <c r="BM19" i="14"/>
  <c r="BL19" i="14"/>
  <c r="BK19" i="14"/>
  <c r="BJ19" i="14"/>
  <c r="BI19" i="14"/>
  <c r="BH19" i="14"/>
  <c r="BF19" i="14"/>
  <c r="BE19" i="14"/>
  <c r="BD19" i="14"/>
  <c r="BC19" i="14"/>
  <c r="AA19" i="14"/>
  <c r="BG19" i="14" s="1"/>
  <c r="N19" i="14"/>
  <c r="BS18" i="14"/>
  <c r="BR18" i="14"/>
  <c r="BQ18" i="14"/>
  <c r="BP18" i="14"/>
  <c r="BO18" i="14"/>
  <c r="BN18" i="14"/>
  <c r="BM18" i="14"/>
  <c r="BL18" i="14"/>
  <c r="BK18" i="14"/>
  <c r="BJ18" i="14"/>
  <c r="BI18" i="14"/>
  <c r="BH18" i="14"/>
  <c r="BF18" i="14"/>
  <c r="BE18" i="14"/>
  <c r="BD18" i="14"/>
  <c r="BC18" i="14"/>
  <c r="AA18" i="14"/>
  <c r="BG18" i="14" s="1"/>
  <c r="N18" i="14"/>
  <c r="BS17" i="14"/>
  <c r="BR17" i="14"/>
  <c r="BQ17" i="14"/>
  <c r="BP17" i="14"/>
  <c r="BO17" i="14"/>
  <c r="BN17" i="14"/>
  <c r="BM17" i="14"/>
  <c r="BL17" i="14"/>
  <c r="BK17" i="14"/>
  <c r="BJ17" i="14"/>
  <c r="BI17" i="14"/>
  <c r="BH17" i="14"/>
  <c r="BF17" i="14"/>
  <c r="BE17" i="14"/>
  <c r="BD17" i="14"/>
  <c r="BC17" i="14"/>
  <c r="AA17" i="14"/>
  <c r="BG17" i="14" s="1"/>
  <c r="N17" i="14"/>
  <c r="BS16" i="14"/>
  <c r="BR16" i="14"/>
  <c r="BQ16" i="14"/>
  <c r="BP16" i="14"/>
  <c r="BO16" i="14"/>
  <c r="BN16" i="14"/>
  <c r="BM16" i="14"/>
  <c r="BL16" i="14"/>
  <c r="BK16" i="14"/>
  <c r="BJ16" i="14"/>
  <c r="BI16" i="14"/>
  <c r="BH16" i="14"/>
  <c r="BF16" i="14"/>
  <c r="BE16" i="14"/>
  <c r="BD16" i="14"/>
  <c r="BC16" i="14"/>
  <c r="AA16" i="14"/>
  <c r="BG16" i="14" s="1"/>
  <c r="N16" i="14"/>
  <c r="BS15" i="14"/>
  <c r="BR15" i="14"/>
  <c r="BQ15" i="14"/>
  <c r="BP15" i="14"/>
  <c r="BO15" i="14"/>
  <c r="BN15" i="14"/>
  <c r="BM15" i="14"/>
  <c r="BL15" i="14"/>
  <c r="BK15" i="14"/>
  <c r="BJ15" i="14"/>
  <c r="BI15" i="14"/>
  <c r="BH15" i="14"/>
  <c r="BF15" i="14"/>
  <c r="BE15" i="14"/>
  <c r="BD15" i="14"/>
  <c r="BC15" i="14"/>
  <c r="AA15" i="14"/>
  <c r="BG15" i="14" s="1"/>
  <c r="N15" i="14"/>
  <c r="BS14" i="14"/>
  <c r="BR14" i="14"/>
  <c r="BQ14" i="14"/>
  <c r="BP14" i="14"/>
  <c r="BO14" i="14"/>
  <c r="BN14" i="14"/>
  <c r="BM14" i="14"/>
  <c r="BL14" i="14"/>
  <c r="BK14" i="14"/>
  <c r="BJ14" i="14"/>
  <c r="BI14" i="14"/>
  <c r="BH14" i="14"/>
  <c r="BF14" i="14"/>
  <c r="BE14" i="14"/>
  <c r="BD14" i="14"/>
  <c r="BC14" i="14"/>
  <c r="AA14" i="14"/>
  <c r="BG14" i="14" s="1"/>
  <c r="N14" i="14"/>
  <c r="BS13" i="14"/>
  <c r="BR13" i="14"/>
  <c r="BQ13" i="14"/>
  <c r="BP13" i="14"/>
  <c r="BO13" i="14"/>
  <c r="BN13" i="14"/>
  <c r="BM13" i="14"/>
  <c r="BL13" i="14"/>
  <c r="BK13" i="14"/>
  <c r="BJ13" i="14"/>
  <c r="BI13" i="14"/>
  <c r="BH13" i="14"/>
  <c r="BF13" i="14"/>
  <c r="BE13" i="14"/>
  <c r="BD13" i="14"/>
  <c r="BC13" i="14"/>
  <c r="AA13" i="14"/>
  <c r="BG13" i="14" s="1"/>
  <c r="N13" i="14"/>
  <c r="BS12" i="14"/>
  <c r="BR12" i="14"/>
  <c r="BQ12" i="14"/>
  <c r="BP12" i="14"/>
  <c r="BO12" i="14"/>
  <c r="BN12" i="14"/>
  <c r="BM12" i="14"/>
  <c r="BL12" i="14"/>
  <c r="BK12" i="14"/>
  <c r="BJ12" i="14"/>
  <c r="BI12" i="14"/>
  <c r="BH12" i="14"/>
  <c r="BF12" i="14"/>
  <c r="BE12" i="14"/>
  <c r="BD12" i="14"/>
  <c r="BC12" i="14"/>
  <c r="AA12" i="14"/>
  <c r="BG12" i="14" s="1"/>
  <c r="N12" i="14"/>
  <c r="BS11" i="14"/>
  <c r="BR11" i="14"/>
  <c r="BQ11" i="14"/>
  <c r="BP11" i="14"/>
  <c r="BO11" i="14"/>
  <c r="BN11" i="14"/>
  <c r="BM11" i="14"/>
  <c r="BL11" i="14"/>
  <c r="BK11" i="14"/>
  <c r="BJ11" i="14"/>
  <c r="BI11" i="14"/>
  <c r="BH11" i="14"/>
  <c r="BF11" i="14"/>
  <c r="BE11" i="14"/>
  <c r="BD11" i="14"/>
  <c r="BC11" i="14"/>
  <c r="AA11" i="14"/>
  <c r="BG11" i="14" s="1"/>
  <c r="N11" i="14"/>
  <c r="BS10" i="14"/>
  <c r="BR10" i="14"/>
  <c r="BQ10" i="14"/>
  <c r="BP10" i="14"/>
  <c r="BO10" i="14"/>
  <c r="BN10" i="14"/>
  <c r="BM10" i="14"/>
  <c r="BL10" i="14"/>
  <c r="BK10" i="14"/>
  <c r="BJ10" i="14"/>
  <c r="BI10" i="14"/>
  <c r="BH10" i="14"/>
  <c r="BF10" i="14"/>
  <c r="BE10" i="14"/>
  <c r="BD10" i="14"/>
  <c r="BC10" i="14"/>
  <c r="AA10" i="14"/>
  <c r="BG10" i="14" s="1"/>
  <c r="N10" i="14"/>
  <c r="BS9" i="14"/>
  <c r="BR9" i="14"/>
  <c r="BQ9" i="14"/>
  <c r="BP9" i="14"/>
  <c r="BO9" i="14"/>
  <c r="BN9" i="14"/>
  <c r="BM9" i="14"/>
  <c r="BL9" i="14"/>
  <c r="BK9" i="14"/>
  <c r="BJ9" i="14"/>
  <c r="BI9" i="14"/>
  <c r="BH9" i="14"/>
  <c r="BF9" i="14"/>
  <c r="BE9" i="14"/>
  <c r="BD9" i="14"/>
  <c r="BC9" i="14"/>
  <c r="AA9" i="14"/>
  <c r="BG9" i="14" s="1"/>
  <c r="N9" i="14"/>
  <c r="BS8" i="14"/>
  <c r="BR8" i="14"/>
  <c r="BQ8" i="14"/>
  <c r="BP8" i="14"/>
  <c r="BO8" i="14"/>
  <c r="BN8" i="14"/>
  <c r="BM8" i="14"/>
  <c r="BL8" i="14"/>
  <c r="BK8" i="14"/>
  <c r="BJ8" i="14"/>
  <c r="BI8" i="14"/>
  <c r="BH8" i="14"/>
  <c r="BF8" i="14"/>
  <c r="BE8" i="14"/>
  <c r="BD8" i="14"/>
  <c r="BC8" i="14"/>
  <c r="AA8" i="14"/>
  <c r="BG8" i="14" s="1"/>
  <c r="N8" i="14"/>
  <c r="BS7" i="14"/>
  <c r="BR7" i="14"/>
  <c r="BQ7" i="14"/>
  <c r="BP7" i="14"/>
  <c r="BO7" i="14"/>
  <c r="BN7" i="14"/>
  <c r="BM7" i="14"/>
  <c r="BL7" i="14"/>
  <c r="BK7" i="14"/>
  <c r="BJ7" i="14"/>
  <c r="BI7" i="14"/>
  <c r="BH7" i="14"/>
  <c r="BF7" i="14"/>
  <c r="BE7" i="14"/>
  <c r="BD7" i="14"/>
  <c r="BC7" i="14"/>
  <c r="AA7" i="14"/>
  <c r="BG7" i="14" s="1"/>
  <c r="N7" i="14"/>
  <c r="BS6" i="14"/>
  <c r="BR6" i="14"/>
  <c r="BQ6" i="14"/>
  <c r="BP6" i="14"/>
  <c r="BO6" i="14"/>
  <c r="BN6" i="14"/>
  <c r="BM6" i="14"/>
  <c r="BL6" i="14"/>
  <c r="BK6" i="14"/>
  <c r="BJ6" i="14"/>
  <c r="BI6" i="14"/>
  <c r="BH6" i="14"/>
  <c r="BF6" i="14"/>
  <c r="BE6" i="14"/>
  <c r="BD6" i="14"/>
  <c r="BC6" i="14"/>
  <c r="AA6" i="14"/>
  <c r="BG6" i="14" s="1"/>
  <c r="N6" i="14"/>
  <c r="BS5" i="14"/>
  <c r="BR5" i="14"/>
  <c r="BQ5" i="14"/>
  <c r="BP5" i="14"/>
  <c r="BO5" i="14"/>
  <c r="BN5" i="14"/>
  <c r="BM5" i="14"/>
  <c r="BL5" i="14"/>
  <c r="BK5" i="14"/>
  <c r="BJ5" i="14"/>
  <c r="BI5" i="14"/>
  <c r="BH5" i="14"/>
  <c r="BF5" i="14"/>
  <c r="BE5" i="14"/>
  <c r="BD5" i="14"/>
  <c r="BC5" i="14"/>
  <c r="AA5" i="14"/>
  <c r="BG5" i="14" s="1"/>
  <c r="N5" i="14"/>
  <c r="BS4" i="14"/>
  <c r="BR4" i="14"/>
  <c r="BQ4" i="14"/>
  <c r="BP4" i="14"/>
  <c r="BO4" i="14"/>
  <c r="BN4" i="14"/>
  <c r="BM4" i="14"/>
  <c r="BL4" i="14"/>
  <c r="BK4" i="14"/>
  <c r="BJ4" i="14"/>
  <c r="BI4" i="14"/>
  <c r="BH4" i="14"/>
  <c r="BF4" i="14"/>
  <c r="BE4" i="14"/>
  <c r="BD4" i="14"/>
  <c r="BC4" i="14"/>
  <c r="AA4" i="14"/>
  <c r="BG4" i="14" s="1"/>
  <c r="N4" i="14"/>
  <c r="BS3" i="14"/>
  <c r="BR3" i="14"/>
  <c r="BQ3" i="14"/>
  <c r="BP3" i="14"/>
  <c r="BO3" i="14"/>
  <c r="BN3" i="14"/>
  <c r="BM3" i="14"/>
  <c r="BL3" i="14"/>
  <c r="BK3" i="14"/>
  <c r="BJ3" i="14"/>
  <c r="BI3" i="14"/>
  <c r="BH3" i="14"/>
  <c r="BF3" i="14"/>
  <c r="BE3" i="14"/>
  <c r="BD3" i="14"/>
  <c r="BC3" i="14"/>
  <c r="AA3" i="14"/>
  <c r="BG3" i="14" s="1"/>
  <c r="N3" i="14"/>
  <c r="AA194" i="14" l="1"/>
  <c r="BG194" i="14" s="1"/>
  <c r="N203" i="14"/>
  <c r="BD201" i="14"/>
  <c r="AA199" i="14"/>
  <c r="BG199" i="14" s="1"/>
  <c r="AA186" i="14"/>
  <c r="BG186" i="14" s="1"/>
  <c r="BD192" i="14"/>
  <c r="BG192" i="14"/>
  <c r="BL203" i="14"/>
  <c r="AA197" i="14"/>
  <c r="BG197" i="14" s="1"/>
  <c r="BM204" i="14"/>
  <c r="AA195" i="14"/>
  <c r="BG195" i="14" s="1"/>
  <c r="BN204" i="14"/>
  <c r="AA190" i="14"/>
  <c r="BG190" i="14" s="1"/>
  <c r="BP204" i="14"/>
  <c r="BQ204" i="14"/>
  <c r="AA196" i="14"/>
  <c r="BR204" i="14"/>
  <c r="BL204" i="14"/>
  <c r="BC204" i="14"/>
  <c r="BS204" i="14"/>
  <c r="BE203" i="14"/>
  <c r="BF204" i="14"/>
  <c r="BI204" i="14"/>
  <c r="BH204" i="14"/>
  <c r="BK204" i="14"/>
  <c r="BO204" i="14"/>
  <c r="AR203" i="14"/>
  <c r="BD198" i="14"/>
  <c r="BD200" i="14"/>
  <c r="BF203" i="14"/>
  <c r="BH203" i="14"/>
  <c r="BI203" i="14"/>
  <c r="BJ203" i="14"/>
  <c r="BO197" i="14"/>
  <c r="BO203" i="14" s="1"/>
  <c r="BK203" i="14"/>
  <c r="BM203" i="14"/>
  <c r="BN203" i="14"/>
  <c r="AA185" i="14"/>
  <c r="AA187" i="14"/>
  <c r="AA189" i="14"/>
  <c r="BG189" i="14" s="1"/>
  <c r="AA191" i="14"/>
  <c r="BG191" i="14" s="1"/>
  <c r="AA193" i="14"/>
  <c r="BG193" i="14" s="1"/>
  <c r="BP203" i="14"/>
  <c r="Z203" i="14"/>
  <c r="BQ203" i="14"/>
  <c r="BC203" i="14"/>
  <c r="BR203" i="14"/>
  <c r="BS203" i="14"/>
  <c r="BD203" i="14" l="1"/>
  <c r="BG196" i="14"/>
  <c r="D209" i="14"/>
  <c r="BG187" i="14"/>
  <c r="D210" i="14"/>
  <c r="BG185" i="14"/>
  <c r="D207" i="14"/>
  <c r="BD204" i="14"/>
  <c r="I21" i="11" l="1"/>
  <c r="K10" i="9"/>
  <c r="V21" i="9" l="1"/>
  <c r="V20" i="9"/>
  <c r="V19" i="9"/>
  <c r="V18" i="9"/>
  <c r="V17" i="9"/>
  <c r="V16" i="9"/>
  <c r="V15" i="9"/>
  <c r="V14" i="9"/>
  <c r="V13" i="9"/>
  <c r="V12" i="9"/>
  <c r="V11" i="9"/>
  <c r="V10" i="9"/>
  <c r="V9" i="9"/>
  <c r="V8" i="9"/>
  <c r="V7" i="9"/>
  <c r="V22" i="9" l="1"/>
  <c r="P4" i="11" l="1"/>
  <c r="I4" i="11"/>
  <c r="H17" i="7" l="1"/>
  <c r="K6" i="9"/>
  <c r="H22" i="13"/>
  <c r="G22" i="13"/>
  <c r="F22" i="13"/>
  <c r="D22" i="13"/>
  <c r="C22" i="13"/>
  <c r="K20" i="13"/>
  <c r="I20" i="13"/>
  <c r="E20" i="13"/>
  <c r="I19" i="13"/>
  <c r="E19" i="13"/>
  <c r="K19" i="13" s="1"/>
  <c r="I18" i="13"/>
  <c r="E18" i="13"/>
  <c r="K18" i="13" s="1"/>
  <c r="I17" i="13"/>
  <c r="E17" i="13"/>
  <c r="K17" i="13" s="1"/>
  <c r="I16" i="13"/>
  <c r="E16" i="13"/>
  <c r="K16" i="13" s="1"/>
  <c r="I15" i="13"/>
  <c r="E15" i="13"/>
  <c r="K15" i="13" s="1"/>
  <c r="I14" i="13"/>
  <c r="E14" i="13"/>
  <c r="K14" i="13" s="1"/>
  <c r="I13" i="13"/>
  <c r="E13" i="13"/>
  <c r="K13" i="13" s="1"/>
  <c r="I12" i="13"/>
  <c r="E12" i="13"/>
  <c r="K12" i="13" s="1"/>
  <c r="I11" i="13"/>
  <c r="E11" i="13"/>
  <c r="K11" i="13" s="1"/>
  <c r="I10" i="13"/>
  <c r="E10" i="13"/>
  <c r="K10" i="13" s="1"/>
  <c r="I9" i="13"/>
  <c r="K9" i="13" s="1"/>
  <c r="E9" i="13"/>
  <c r="I8" i="13"/>
  <c r="E8" i="13"/>
  <c r="K8" i="13" s="1"/>
  <c r="I7" i="13"/>
  <c r="E7" i="13"/>
  <c r="E22" i="13" s="1"/>
  <c r="K6" i="13"/>
  <c r="I6" i="13"/>
  <c r="E6" i="13"/>
  <c r="I5" i="13"/>
  <c r="I22" i="13" s="1"/>
  <c r="E5" i="13"/>
  <c r="K5" i="13" s="1"/>
  <c r="H18" i="7" l="1"/>
  <c r="H19" i="7" s="1"/>
  <c r="H20" i="7" s="1"/>
  <c r="L24" i="13"/>
  <c r="M10" i="13"/>
  <c r="M11" i="13"/>
  <c r="M14" i="13"/>
  <c r="M17" i="13"/>
  <c r="M20" i="13"/>
  <c r="M16" i="13"/>
  <c r="M8" i="13"/>
  <c r="M13" i="13"/>
  <c r="M18" i="13"/>
  <c r="M6" i="13"/>
  <c r="M19" i="13"/>
  <c r="M12" i="13"/>
  <c r="M9" i="13"/>
  <c r="L28" i="13"/>
  <c r="M15" i="13"/>
  <c r="M5" i="13"/>
  <c r="K22" i="13"/>
  <c r="K7" i="13"/>
  <c r="M7" i="13" s="1"/>
  <c r="H24" i="7" l="1"/>
  <c r="H47" i="7"/>
  <c r="M22" i="13"/>
  <c r="E28" i="8" l="1"/>
  <c r="E30" i="8" s="1"/>
  <c r="A40" i="11" l="1"/>
  <c r="G2" i="8" l="1"/>
  <c r="G42" i="8" l="1"/>
  <c r="G17" i="8"/>
  <c r="P5" i="11"/>
  <c r="AK7" i="10" s="1"/>
  <c r="G53" i="10" s="1"/>
  <c r="P6" i="11"/>
  <c r="AK6" i="10" s="1"/>
  <c r="G52" i="10" s="1"/>
  <c r="H85" i="19" s="1"/>
  <c r="P7" i="11"/>
  <c r="AK8" i="10" s="1"/>
  <c r="G54" i="10" s="1"/>
  <c r="P8" i="11"/>
  <c r="AK12" i="10" s="1"/>
  <c r="G58" i="10" s="1"/>
  <c r="P9" i="11"/>
  <c r="AK10" i="10" s="1"/>
  <c r="G56" i="10" s="1"/>
  <c r="P10" i="11"/>
  <c r="AK4" i="10" s="1"/>
  <c r="G50" i="10" s="1"/>
  <c r="P11" i="11"/>
  <c r="AK15" i="10" s="1"/>
  <c r="G61" i="10" s="1"/>
  <c r="P12" i="11"/>
  <c r="AK13" i="10" s="1"/>
  <c r="G59" i="10" s="1"/>
  <c r="P13" i="11"/>
  <c r="AK11" i="10" s="1"/>
  <c r="G57" i="10" s="1"/>
  <c r="P14" i="11"/>
  <c r="AK5" i="10" s="1"/>
  <c r="G51" i="10" s="1"/>
  <c r="P15" i="11"/>
  <c r="AK14" i="10" s="1"/>
  <c r="G60" i="10" s="1"/>
  <c r="AK9" i="10"/>
  <c r="G55" i="10" s="1"/>
  <c r="O5" i="11"/>
  <c r="O6" i="11"/>
  <c r="O7" i="11"/>
  <c r="O8" i="11"/>
  <c r="O9" i="11"/>
  <c r="O10" i="11"/>
  <c r="O11" i="11"/>
  <c r="O12" i="11"/>
  <c r="O13" i="11"/>
  <c r="O14" i="11"/>
  <c r="O15" i="11"/>
  <c r="AJ5" i="10"/>
  <c r="F51" i="10" s="1"/>
  <c r="AJ6" i="10"/>
  <c r="F52" i="10" s="1"/>
  <c r="H84" i="19" s="1"/>
  <c r="AJ7" i="10"/>
  <c r="F53" i="10" s="1"/>
  <c r="AJ8" i="10"/>
  <c r="F54" i="10" s="1"/>
  <c r="AJ9" i="10"/>
  <c r="F55" i="10" s="1"/>
  <c r="AJ10" i="10"/>
  <c r="F56" i="10" s="1"/>
  <c r="AJ11" i="10"/>
  <c r="F57" i="10" s="1"/>
  <c r="AJ12" i="10"/>
  <c r="F58" i="10" s="1"/>
  <c r="AJ13" i="10"/>
  <c r="F59" i="10" s="1"/>
  <c r="AJ14" i="10"/>
  <c r="F60" i="10" s="1"/>
  <c r="AJ15" i="10"/>
  <c r="F61" i="10" s="1"/>
  <c r="AJ4" i="10"/>
  <c r="F50" i="10" s="1"/>
  <c r="N5" i="11"/>
  <c r="N6" i="11"/>
  <c r="N7" i="11"/>
  <c r="N8" i="11"/>
  <c r="N9" i="11"/>
  <c r="N10" i="11"/>
  <c r="N11" i="11"/>
  <c r="N12" i="11"/>
  <c r="N13" i="11"/>
  <c r="N14" i="11"/>
  <c r="N15" i="11"/>
  <c r="N4" i="11"/>
  <c r="A35" i="11"/>
  <c r="I24" i="11" l="1"/>
  <c r="I23" i="11"/>
  <c r="I22" i="11"/>
  <c r="I11" i="11"/>
  <c r="I6" i="11"/>
  <c r="I13" i="11"/>
  <c r="I5" i="11"/>
  <c r="I14" i="11"/>
  <c r="I8" i="11"/>
  <c r="I7" i="11"/>
  <c r="I10" i="11"/>
  <c r="I15" i="11"/>
  <c r="I9" i="11"/>
  <c r="I12" i="11"/>
  <c r="I18" i="11" l="1"/>
  <c r="I17" i="11"/>
  <c r="J22" i="9" l="1"/>
  <c r="O21" i="9"/>
  <c r="O20" i="9"/>
  <c r="O19" i="9"/>
  <c r="O18" i="9"/>
  <c r="O17" i="9"/>
  <c r="O16" i="9"/>
  <c r="O15" i="9"/>
  <c r="O14" i="9"/>
  <c r="O13" i="9"/>
  <c r="O12" i="9"/>
  <c r="O11" i="9"/>
  <c r="O10" i="9"/>
  <c r="O9" i="9"/>
  <c r="O8" i="9"/>
  <c r="O7" i="9"/>
  <c r="O6" i="9"/>
  <c r="BM5" i="15" s="1"/>
  <c r="BP5" i="15" s="1"/>
  <c r="K21" i="9" l="1"/>
  <c r="K8" i="9"/>
  <c r="M6" i="9"/>
  <c r="BL5" i="15" s="1"/>
  <c r="BO5" i="15" s="1"/>
  <c r="BQ5" i="15" s="1"/>
  <c r="K9" i="9"/>
  <c r="K7" i="9"/>
  <c r="M21" i="9"/>
  <c r="K14" i="9"/>
  <c r="M12" i="9"/>
  <c r="M15" i="9"/>
  <c r="M17" i="9"/>
  <c r="K12" i="9"/>
  <c r="M14" i="9"/>
  <c r="K11" i="9"/>
  <c r="M19" i="9"/>
  <c r="M10" i="9"/>
  <c r="K16" i="9"/>
  <c r="K18" i="9"/>
  <c r="K15" i="9"/>
  <c r="M7" i="9"/>
  <c r="K19" i="9"/>
  <c r="K13" i="9"/>
  <c r="M18" i="9"/>
  <c r="M13" i="9"/>
  <c r="K20" i="9"/>
  <c r="M20" i="9"/>
  <c r="M8" i="9"/>
  <c r="K17" i="9"/>
  <c r="M9" i="9"/>
  <c r="M11" i="9"/>
  <c r="M16" i="9"/>
  <c r="O22" i="9"/>
  <c r="K22" i="9" l="1"/>
  <c r="M22" i="9"/>
  <c r="K6" i="8" l="1"/>
  <c r="K7" i="8"/>
  <c r="K5" i="8"/>
  <c r="G6" i="8" l="1"/>
  <c r="G21" i="8" l="1"/>
  <c r="G22" i="8"/>
  <c r="G7" i="8"/>
  <c r="G5" i="8"/>
  <c r="G44" i="4" l="1"/>
  <c r="J44" i="4" s="1"/>
  <c r="B30" i="7" l="1"/>
  <c r="B32" i="7"/>
  <c r="I44" i="4"/>
  <c r="K44" i="4" s="1"/>
  <c r="N44" i="4" s="1"/>
  <c r="E42" i="4" l="1"/>
  <c r="L34" i="4"/>
  <c r="I24" i="4"/>
  <c r="J22" i="4"/>
  <c r="F20" i="4"/>
  <c r="I20" i="4" s="1"/>
  <c r="J20" i="4" l="1"/>
  <c r="I22" i="4"/>
  <c r="K22" i="4" s="1"/>
  <c r="N22" i="4" s="1"/>
  <c r="K24" i="4"/>
  <c r="N24" i="4" s="1"/>
  <c r="K20" i="4"/>
  <c r="N20" i="4" s="1"/>
  <c r="G3" i="4"/>
  <c r="G2" i="4"/>
  <c r="E32" i="4" l="1"/>
  <c r="F32" i="4" s="1"/>
  <c r="J32" i="4" s="1"/>
  <c r="F36" i="4"/>
  <c r="F42" i="4"/>
  <c r="I32" i="4"/>
  <c r="K32" i="4" s="1"/>
  <c r="N32" i="4" s="1"/>
  <c r="E16" i="4"/>
  <c r="F16" i="4" s="1"/>
  <c r="E40" i="4"/>
  <c r="F40" i="4" s="1"/>
  <c r="E28" i="4"/>
  <c r="F28" i="4" s="1"/>
  <c r="E30" i="4"/>
  <c r="F30" i="4" s="1"/>
  <c r="F34" i="4"/>
  <c r="J42" i="4" l="1"/>
  <c r="K42" i="4"/>
  <c r="J36" i="4"/>
  <c r="K36" i="4" s="1"/>
  <c r="N36" i="4" s="1"/>
  <c r="J30" i="4"/>
  <c r="I30" i="4"/>
  <c r="I34" i="4"/>
  <c r="J34" i="4"/>
  <c r="I28" i="4"/>
  <c r="J28" i="4"/>
  <c r="K28" i="4" s="1"/>
  <c r="N28" i="4" s="1"/>
  <c r="J40" i="4"/>
  <c r="I40" i="4"/>
  <c r="J26" i="4"/>
  <c r="I26" i="4"/>
  <c r="K26" i="4" s="1"/>
  <c r="N26" i="4" s="1"/>
  <c r="J16" i="4"/>
  <c r="I16" i="4"/>
  <c r="K16" i="4" s="1"/>
  <c r="N16" i="4" s="1"/>
  <c r="K40" i="4" l="1"/>
  <c r="F6" i="8"/>
  <c r="F7" i="8"/>
  <c r="F5" i="8"/>
  <c r="K30" i="4"/>
  <c r="N30" i="4" s="1"/>
  <c r="K34" i="4"/>
  <c r="N34" i="4" s="1"/>
  <c r="F21" i="8" l="1"/>
  <c r="F22" i="8"/>
  <c r="N38" i="4"/>
  <c r="C8" i="4" l="1"/>
  <c r="D10" i="4"/>
  <c r="G8" i="4"/>
  <c r="G15" i="5"/>
  <c r="F8" i="4"/>
  <c r="D8" i="4"/>
  <c r="M33" i="5" l="1"/>
  <c r="I33" i="5"/>
  <c r="M32" i="5"/>
  <c r="I32" i="5"/>
  <c r="G32" i="5"/>
  <c r="K32" i="5" s="1"/>
  <c r="P31" i="5"/>
  <c r="R31" i="5" s="1"/>
  <c r="M31" i="5"/>
  <c r="I31" i="5"/>
  <c r="G31" i="5"/>
  <c r="K31" i="5" s="1"/>
  <c r="M30" i="5"/>
  <c r="P30" i="5" s="1"/>
  <c r="R30" i="5" s="1"/>
  <c r="I30" i="5"/>
  <c r="G30" i="5"/>
  <c r="K30" i="5" s="1"/>
  <c r="M29" i="5"/>
  <c r="G29" i="5" s="1"/>
  <c r="K29" i="5" s="1"/>
  <c r="I29" i="5"/>
  <c r="M28" i="5"/>
  <c r="I28" i="5"/>
  <c r="G28" i="5"/>
  <c r="K28" i="5" s="1"/>
  <c r="M25" i="5"/>
  <c r="I25" i="5"/>
  <c r="G25" i="5"/>
  <c r="K25" i="5" s="1"/>
  <c r="M24" i="5"/>
  <c r="I24" i="5"/>
  <c r="M23" i="5"/>
  <c r="P23" i="5" s="1"/>
  <c r="I23" i="5"/>
  <c r="G23" i="5"/>
  <c r="K23" i="5" s="1"/>
  <c r="P20" i="5"/>
  <c r="R20" i="5" s="1"/>
  <c r="M20" i="5"/>
  <c r="I20" i="5"/>
  <c r="G20" i="5"/>
  <c r="K20" i="5" s="1"/>
  <c r="M19" i="5"/>
  <c r="P19" i="5" s="1"/>
  <c r="R19" i="5" s="1"/>
  <c r="I19" i="5"/>
  <c r="G19" i="5"/>
  <c r="K19" i="5" s="1"/>
  <c r="M18" i="5"/>
  <c r="G18" i="5" s="1"/>
  <c r="K18" i="5" s="1"/>
  <c r="I18" i="5"/>
  <c r="M17" i="5"/>
  <c r="I17" i="5"/>
  <c r="G17" i="5"/>
  <c r="K17" i="5" s="1"/>
  <c r="M16" i="5"/>
  <c r="I16" i="5"/>
  <c r="G16" i="5"/>
  <c r="K16" i="5" s="1"/>
  <c r="M15" i="5"/>
  <c r="I15" i="5"/>
  <c r="K8" i="4" l="1"/>
  <c r="N8" i="4" s="1"/>
  <c r="R16" i="5"/>
  <c r="R17" i="5"/>
  <c r="R28" i="5"/>
  <c r="P18" i="5"/>
  <c r="R18" i="5" s="1"/>
  <c r="P29" i="5"/>
  <c r="R29" i="5" s="1"/>
  <c r="P32" i="5"/>
  <c r="R32" i="5" s="1"/>
  <c r="R23" i="5"/>
  <c r="K15" i="5"/>
  <c r="G24" i="5"/>
  <c r="K24" i="5" s="1"/>
  <c r="G33" i="5"/>
  <c r="K33" i="5" s="1"/>
  <c r="P16" i="5"/>
  <c r="P25" i="5"/>
  <c r="R25" i="5" s="1"/>
  <c r="P17" i="5"/>
  <c r="P28" i="5"/>
  <c r="P15" i="5"/>
  <c r="R15" i="5" s="1"/>
  <c r="P24" i="5"/>
  <c r="R24" i="5" s="1"/>
  <c r="P33" i="5"/>
  <c r="R33" i="5" s="1"/>
  <c r="E22" i="8" l="1"/>
  <c r="E21" i="8"/>
  <c r="E17" i="8"/>
  <c r="E42" i="8"/>
  <c r="H42" i="8" s="1"/>
  <c r="E6" i="8"/>
  <c r="D38" i="8" s="1"/>
  <c r="D39" i="8" s="1"/>
  <c r="E7" i="8"/>
  <c r="E5" i="8"/>
  <c r="E65" i="3"/>
  <c r="M64" i="3"/>
  <c r="I64" i="3"/>
  <c r="G64" i="3"/>
  <c r="K64" i="3" s="1"/>
  <c r="M63" i="3"/>
  <c r="I63" i="3"/>
  <c r="G63" i="3"/>
  <c r="K63" i="3" s="1"/>
  <c r="M62" i="3"/>
  <c r="O62" i="3" s="1"/>
  <c r="I62" i="3"/>
  <c r="G62" i="3"/>
  <c r="K62" i="3" s="1"/>
  <c r="O61" i="3"/>
  <c r="Q61" i="3" s="1"/>
  <c r="M61" i="3"/>
  <c r="I61" i="3"/>
  <c r="G61" i="3"/>
  <c r="K61" i="3" s="1"/>
  <c r="M60" i="3"/>
  <c r="I60" i="3"/>
  <c r="G60" i="3"/>
  <c r="K60" i="3" s="1"/>
  <c r="M59" i="3"/>
  <c r="K59" i="3"/>
  <c r="I59" i="3"/>
  <c r="G59" i="3"/>
  <c r="M58" i="3"/>
  <c r="I58" i="3"/>
  <c r="G58" i="3"/>
  <c r="K58" i="3" s="1"/>
  <c r="M57" i="3"/>
  <c r="I57" i="3"/>
  <c r="G57" i="3"/>
  <c r="K57" i="3" s="1"/>
  <c r="M56" i="3"/>
  <c r="I56" i="3"/>
  <c r="G56" i="3"/>
  <c r="K56" i="3" s="1"/>
  <c r="M55" i="3"/>
  <c r="O55" i="3" s="1"/>
  <c r="I55" i="3"/>
  <c r="G55" i="3"/>
  <c r="K55" i="3" s="1"/>
  <c r="O54" i="3"/>
  <c r="Q54" i="3" s="1"/>
  <c r="M54" i="3"/>
  <c r="I54" i="3"/>
  <c r="G54" i="3"/>
  <c r="K54" i="3" s="1"/>
  <c r="M53" i="3"/>
  <c r="I53" i="3"/>
  <c r="G53" i="3"/>
  <c r="K53" i="3" s="1"/>
  <c r="M52" i="3"/>
  <c r="K52" i="3"/>
  <c r="I52" i="3"/>
  <c r="G52" i="3"/>
  <c r="M51" i="3"/>
  <c r="I51" i="3"/>
  <c r="G51" i="3"/>
  <c r="K51" i="3" s="1"/>
  <c r="M50" i="3"/>
  <c r="I50" i="3"/>
  <c r="G50" i="3"/>
  <c r="K50" i="3" s="1"/>
  <c r="M49" i="3"/>
  <c r="I49" i="3"/>
  <c r="G49" i="3"/>
  <c r="K49" i="3" s="1"/>
  <c r="M48" i="3"/>
  <c r="I48" i="3"/>
  <c r="G48" i="3"/>
  <c r="K48" i="3" s="1"/>
  <c r="O47" i="3"/>
  <c r="Q47" i="3" s="1"/>
  <c r="M47" i="3"/>
  <c r="I47" i="3"/>
  <c r="K47" i="3" s="1"/>
  <c r="G47" i="3"/>
  <c r="M46" i="3"/>
  <c r="I46" i="3"/>
  <c r="G46" i="3"/>
  <c r="K46" i="3" s="1"/>
  <c r="M45" i="3"/>
  <c r="K45" i="3"/>
  <c r="I45" i="3"/>
  <c r="G45" i="3"/>
  <c r="M44" i="3"/>
  <c r="I44" i="3"/>
  <c r="G44" i="3"/>
  <c r="K44" i="3" s="1"/>
  <c r="M43" i="3"/>
  <c r="I43" i="3"/>
  <c r="G43" i="3"/>
  <c r="K43" i="3" s="1"/>
  <c r="M42" i="3"/>
  <c r="I42" i="3"/>
  <c r="G42" i="3"/>
  <c r="K42" i="3" s="1"/>
  <c r="M41" i="3"/>
  <c r="I41" i="3"/>
  <c r="G41" i="3"/>
  <c r="K41" i="3" s="1"/>
  <c r="O40" i="3"/>
  <c r="Q40" i="3" s="1"/>
  <c r="M40" i="3"/>
  <c r="I40" i="3"/>
  <c r="K40" i="3" s="1"/>
  <c r="G40" i="3"/>
  <c r="M39" i="3"/>
  <c r="I39" i="3"/>
  <c r="G39" i="3"/>
  <c r="K39" i="3" s="1"/>
  <c r="M38" i="3"/>
  <c r="K38" i="3"/>
  <c r="I38" i="3"/>
  <c r="G38" i="3"/>
  <c r="M37" i="3"/>
  <c r="I37" i="3"/>
  <c r="G37" i="3"/>
  <c r="K37" i="3" s="1"/>
  <c r="M36" i="3"/>
  <c r="O36" i="3" s="1"/>
  <c r="I36" i="3"/>
  <c r="G36" i="3"/>
  <c r="K36" i="3" s="1"/>
  <c r="M35" i="3"/>
  <c r="I35" i="3"/>
  <c r="G35" i="3"/>
  <c r="K35" i="3" s="1"/>
  <c r="M34" i="3"/>
  <c r="O34" i="3" s="1"/>
  <c r="I34" i="3"/>
  <c r="G34" i="3"/>
  <c r="K34" i="3" s="1"/>
  <c r="O33" i="3"/>
  <c r="Q33" i="3" s="1"/>
  <c r="M33" i="3"/>
  <c r="I33" i="3"/>
  <c r="K33" i="3" s="1"/>
  <c r="G33" i="3"/>
  <c r="M32" i="3"/>
  <c r="I32" i="3"/>
  <c r="G32" i="3"/>
  <c r="K32" i="3" s="1"/>
  <c r="M31" i="3"/>
  <c r="O31" i="3" s="1"/>
  <c r="K31" i="3"/>
  <c r="I31" i="3"/>
  <c r="G31" i="3"/>
  <c r="M30" i="3"/>
  <c r="I30" i="3"/>
  <c r="G30" i="3"/>
  <c r="K30" i="3" s="1"/>
  <c r="M29" i="3"/>
  <c r="O29" i="3" s="1"/>
  <c r="I29" i="3"/>
  <c r="G29" i="3"/>
  <c r="K29" i="3" s="1"/>
  <c r="M28" i="3"/>
  <c r="I28" i="3"/>
  <c r="G28" i="3"/>
  <c r="K28" i="3" s="1"/>
  <c r="M27" i="3"/>
  <c r="O27" i="3" s="1"/>
  <c r="I27" i="3"/>
  <c r="G27" i="3"/>
  <c r="K27" i="3" s="1"/>
  <c r="O26" i="3"/>
  <c r="Q26" i="3" s="1"/>
  <c r="M26" i="3"/>
  <c r="I26" i="3"/>
  <c r="K26" i="3" s="1"/>
  <c r="G26" i="3"/>
  <c r="M25" i="3"/>
  <c r="O25" i="3" s="1"/>
  <c r="I25" i="3"/>
  <c r="G25" i="3"/>
  <c r="K25" i="3" s="1"/>
  <c r="M24" i="3"/>
  <c r="O24" i="3" s="1"/>
  <c r="K24" i="3"/>
  <c r="I24" i="3"/>
  <c r="G24" i="3"/>
  <c r="M23" i="3"/>
  <c r="I23" i="3"/>
  <c r="G23" i="3"/>
  <c r="K23" i="3" s="1"/>
  <c r="M22" i="3"/>
  <c r="O22" i="3" s="1"/>
  <c r="I22" i="3"/>
  <c r="G22" i="3"/>
  <c r="K22" i="3" s="1"/>
  <c r="M21" i="3"/>
  <c r="I21" i="3"/>
  <c r="G21" i="3"/>
  <c r="K21" i="3" s="1"/>
  <c r="M20" i="3"/>
  <c r="O20" i="3" s="1"/>
  <c r="I20" i="3"/>
  <c r="G20" i="3"/>
  <c r="K20" i="3" s="1"/>
  <c r="O19" i="3"/>
  <c r="Q19" i="3" s="1"/>
  <c r="M19" i="3"/>
  <c r="I19" i="3"/>
  <c r="K19" i="3" s="1"/>
  <c r="G19" i="3"/>
  <c r="M18" i="3"/>
  <c r="I18" i="3"/>
  <c r="G18" i="3"/>
  <c r="K18" i="3" s="1"/>
  <c r="M17" i="3"/>
  <c r="K17" i="3"/>
  <c r="I17" i="3"/>
  <c r="G17" i="3"/>
  <c r="M16" i="3"/>
  <c r="I16" i="3"/>
  <c r="G16" i="3"/>
  <c r="K16" i="3" s="1"/>
  <c r="M15" i="3"/>
  <c r="O15" i="3" s="1"/>
  <c r="I15" i="3"/>
  <c r="I65" i="3" s="1"/>
  <c r="G15" i="3"/>
  <c r="M64" i="2"/>
  <c r="Q64" i="2" s="1"/>
  <c r="S64" i="2" s="1"/>
  <c r="I64" i="2"/>
  <c r="G64" i="2"/>
  <c r="K64" i="2" s="1"/>
  <c r="M63" i="2"/>
  <c r="I63" i="2"/>
  <c r="G63" i="2"/>
  <c r="K63" i="2" s="1"/>
  <c r="Q62" i="2"/>
  <c r="S62" i="2" s="1"/>
  <c r="M62" i="2"/>
  <c r="G62" i="2" s="1"/>
  <c r="K62" i="2" s="1"/>
  <c r="I62" i="2"/>
  <c r="M61" i="2"/>
  <c r="I61" i="2"/>
  <c r="G61" i="2"/>
  <c r="K61" i="2" s="1"/>
  <c r="M60" i="2"/>
  <c r="G60" i="2" s="1"/>
  <c r="K60" i="2" s="1"/>
  <c r="I60" i="2"/>
  <c r="M59" i="2"/>
  <c r="I59" i="2"/>
  <c r="G59" i="2"/>
  <c r="K59" i="2" s="1"/>
  <c r="M58" i="2"/>
  <c r="I58" i="2"/>
  <c r="G58" i="2"/>
  <c r="K58" i="2" s="1"/>
  <c r="M57" i="2"/>
  <c r="Q57" i="2" s="1"/>
  <c r="S57" i="2" s="1"/>
  <c r="I57" i="2"/>
  <c r="G57" i="2"/>
  <c r="K57" i="2" s="1"/>
  <c r="M56" i="2"/>
  <c r="I56" i="2"/>
  <c r="G56" i="2"/>
  <c r="K56" i="2" s="1"/>
  <c r="Q55" i="2"/>
  <c r="S55" i="2" s="1"/>
  <c r="M55" i="2"/>
  <c r="G55" i="2" s="1"/>
  <c r="K55" i="2" s="1"/>
  <c r="I55" i="2"/>
  <c r="M54" i="2"/>
  <c r="I54" i="2"/>
  <c r="G54" i="2"/>
  <c r="K54" i="2" s="1"/>
  <c r="M53" i="2"/>
  <c r="G53" i="2" s="1"/>
  <c r="K53" i="2" s="1"/>
  <c r="I53" i="2"/>
  <c r="M52" i="2"/>
  <c r="I52" i="2"/>
  <c r="G52" i="2"/>
  <c r="K52" i="2" s="1"/>
  <c r="M51" i="2"/>
  <c r="I51" i="2"/>
  <c r="G51" i="2"/>
  <c r="K51" i="2" s="1"/>
  <c r="M50" i="2"/>
  <c r="Q50" i="2" s="1"/>
  <c r="S50" i="2" s="1"/>
  <c r="I50" i="2"/>
  <c r="G50" i="2"/>
  <c r="K50" i="2" s="1"/>
  <c r="M49" i="2"/>
  <c r="Q49" i="2" s="1"/>
  <c r="I49" i="2"/>
  <c r="G49" i="2"/>
  <c r="K49" i="2" s="1"/>
  <c r="Q48" i="2"/>
  <c r="S48" i="2" s="1"/>
  <c r="M48" i="2"/>
  <c r="G48" i="2" s="1"/>
  <c r="K48" i="2" s="1"/>
  <c r="I48" i="2"/>
  <c r="M47" i="2"/>
  <c r="Q47" i="2" s="1"/>
  <c r="S47" i="2" s="1"/>
  <c r="I47" i="2"/>
  <c r="G47" i="2"/>
  <c r="K47" i="2" s="1"/>
  <c r="M46" i="2"/>
  <c r="G46" i="2" s="1"/>
  <c r="K46" i="2" s="1"/>
  <c r="I46" i="2"/>
  <c r="M45" i="2"/>
  <c r="I45" i="2"/>
  <c r="G45" i="2"/>
  <c r="K45" i="2" s="1"/>
  <c r="M44" i="2"/>
  <c r="I44" i="2"/>
  <c r="G44" i="2"/>
  <c r="K44" i="2" s="1"/>
  <c r="M43" i="2"/>
  <c r="Q43" i="2" s="1"/>
  <c r="S43" i="2" s="1"/>
  <c r="I43" i="2"/>
  <c r="G43" i="2"/>
  <c r="K43" i="2" s="1"/>
  <c r="M42" i="2"/>
  <c r="I42" i="2"/>
  <c r="G42" i="2"/>
  <c r="K42" i="2" s="1"/>
  <c r="Q41" i="2"/>
  <c r="S41" i="2" s="1"/>
  <c r="M41" i="2"/>
  <c r="G41" i="2" s="1"/>
  <c r="K41" i="2" s="1"/>
  <c r="I41" i="2"/>
  <c r="M40" i="2"/>
  <c r="Q40" i="2" s="1"/>
  <c r="S40" i="2" s="1"/>
  <c r="I40" i="2"/>
  <c r="G40" i="2"/>
  <c r="K40" i="2" s="1"/>
  <c r="M39" i="2"/>
  <c r="G39" i="2" s="1"/>
  <c r="K39" i="2" s="1"/>
  <c r="I39" i="2"/>
  <c r="M38" i="2"/>
  <c r="I38" i="2"/>
  <c r="G38" i="2"/>
  <c r="K38" i="2" s="1"/>
  <c r="M37" i="2"/>
  <c r="I37" i="2"/>
  <c r="G37" i="2"/>
  <c r="K37" i="2" s="1"/>
  <c r="M36" i="2"/>
  <c r="Q36" i="2" s="1"/>
  <c r="S36" i="2" s="1"/>
  <c r="I36" i="2"/>
  <c r="G36" i="2"/>
  <c r="K36" i="2" s="1"/>
  <c r="M35" i="2"/>
  <c r="I35" i="2"/>
  <c r="G35" i="2"/>
  <c r="K35" i="2" s="1"/>
  <c r="Q34" i="2"/>
  <c r="S34" i="2" s="1"/>
  <c r="M34" i="2"/>
  <c r="G34" i="2" s="1"/>
  <c r="K34" i="2" s="1"/>
  <c r="I34" i="2"/>
  <c r="M33" i="2"/>
  <c r="I33" i="2"/>
  <c r="G33" i="2"/>
  <c r="K33" i="2" s="1"/>
  <c r="M32" i="2"/>
  <c r="G32" i="2" s="1"/>
  <c r="K32" i="2" s="1"/>
  <c r="I32" i="2"/>
  <c r="M31" i="2"/>
  <c r="I31" i="2"/>
  <c r="G31" i="2"/>
  <c r="K31" i="2" s="1"/>
  <c r="M30" i="2"/>
  <c r="Q30" i="2" s="1"/>
  <c r="I30" i="2"/>
  <c r="G30" i="2"/>
  <c r="K30" i="2" s="1"/>
  <c r="M29" i="2"/>
  <c r="Q29" i="2" s="1"/>
  <c r="S29" i="2" s="1"/>
  <c r="I29" i="2"/>
  <c r="G29" i="2"/>
  <c r="K29" i="2" s="1"/>
  <c r="M28" i="2"/>
  <c r="Q28" i="2" s="1"/>
  <c r="I28" i="2"/>
  <c r="G28" i="2"/>
  <c r="K28" i="2" s="1"/>
  <c r="Q27" i="2"/>
  <c r="S27" i="2" s="1"/>
  <c r="M27" i="2"/>
  <c r="G27" i="2" s="1"/>
  <c r="K27" i="2" s="1"/>
  <c r="I27" i="2"/>
  <c r="M26" i="2"/>
  <c r="I26" i="2"/>
  <c r="G26" i="2"/>
  <c r="K26" i="2" s="1"/>
  <c r="M25" i="2"/>
  <c r="I25" i="2"/>
  <c r="M24" i="2"/>
  <c r="I24" i="2"/>
  <c r="G24" i="2"/>
  <c r="K24" i="2" s="1"/>
  <c r="M23" i="2"/>
  <c r="I23" i="2"/>
  <c r="G23" i="2"/>
  <c r="K23" i="2" s="1"/>
  <c r="S22" i="2"/>
  <c r="Q22" i="2"/>
  <c r="M22" i="2"/>
  <c r="I22" i="2"/>
  <c r="G22" i="2"/>
  <c r="K22" i="2" s="1"/>
  <c r="M21" i="2"/>
  <c r="Q21" i="2" s="1"/>
  <c r="I21" i="2"/>
  <c r="G21" i="2"/>
  <c r="K21" i="2" s="1"/>
  <c r="Q20" i="2"/>
  <c r="S20" i="2" s="1"/>
  <c r="M20" i="2"/>
  <c r="G20" i="2" s="1"/>
  <c r="K20" i="2" s="1"/>
  <c r="I20" i="2"/>
  <c r="M19" i="2"/>
  <c r="Q19" i="2" s="1"/>
  <c r="S19" i="2" s="1"/>
  <c r="I19" i="2"/>
  <c r="G19" i="2"/>
  <c r="K19" i="2" s="1"/>
  <c r="M18" i="2"/>
  <c r="G18" i="2" s="1"/>
  <c r="K18" i="2" s="1"/>
  <c r="I18" i="2"/>
  <c r="J46" i="1"/>
  <c r="H45" i="1"/>
  <c r="N44" i="1"/>
  <c r="J43" i="1"/>
  <c r="J40" i="1"/>
  <c r="N39" i="1"/>
  <c r="J38" i="1"/>
  <c r="N37" i="1"/>
  <c r="R37" i="1" s="1"/>
  <c r="N33" i="1"/>
  <c r="R33" i="1" s="1"/>
  <c r="J32" i="1"/>
  <c r="N31" i="1"/>
  <c r="N27" i="1"/>
  <c r="R27" i="1" s="1"/>
  <c r="N26" i="1"/>
  <c r="N25" i="1"/>
  <c r="J21" i="1"/>
  <c r="J20" i="1"/>
  <c r="N19" i="1"/>
  <c r="N34" i="1" l="1"/>
  <c r="N43" i="1"/>
  <c r="R43" i="1" s="1"/>
  <c r="H19" i="1"/>
  <c r="J19" i="1"/>
  <c r="N45" i="1"/>
  <c r="H31" i="1"/>
  <c r="J31" i="1"/>
  <c r="J22" i="1"/>
  <c r="F10" i="4"/>
  <c r="J39" i="1"/>
  <c r="H27" i="1"/>
  <c r="H37" i="1"/>
  <c r="J37" i="1"/>
  <c r="J45" i="1"/>
  <c r="L45" i="1" s="1"/>
  <c r="H39" i="1"/>
  <c r="H21" i="1"/>
  <c r="L21" i="1" s="1"/>
  <c r="J27" i="1"/>
  <c r="N21" i="1"/>
  <c r="R21" i="1" s="1"/>
  <c r="H25" i="1"/>
  <c r="J25" i="1"/>
  <c r="H33" i="1"/>
  <c r="J33" i="1"/>
  <c r="H43" i="1"/>
  <c r="L43" i="1" s="1"/>
  <c r="J28" i="1"/>
  <c r="F12" i="4"/>
  <c r="Q35" i="3"/>
  <c r="Q44" i="3"/>
  <c r="Q48" i="3"/>
  <c r="G65" i="3"/>
  <c r="Z65" i="3" s="1"/>
  <c r="K15" i="3"/>
  <c r="K65" i="3" s="1"/>
  <c r="Q23" i="3"/>
  <c r="Q49" i="3"/>
  <c r="Q45" i="3"/>
  <c r="Q28" i="3"/>
  <c r="Q41" i="3"/>
  <c r="Q21" i="3"/>
  <c r="Q38" i="3"/>
  <c r="Q30" i="3"/>
  <c r="Q32" i="3"/>
  <c r="Q16" i="3"/>
  <c r="Q50" i="3"/>
  <c r="Q17" i="3"/>
  <c r="O17" i="3"/>
  <c r="Q60" i="3"/>
  <c r="Q24" i="3"/>
  <c r="O38" i="3"/>
  <c r="O45" i="3"/>
  <c r="O52" i="3"/>
  <c r="Q52" i="3" s="1"/>
  <c r="O43" i="3"/>
  <c r="Q43" i="3" s="1"/>
  <c r="O50" i="3"/>
  <c r="O64" i="3"/>
  <c r="Q64" i="3" s="1"/>
  <c r="Q15" i="3"/>
  <c r="Q22" i="3"/>
  <c r="Q36" i="3"/>
  <c r="O41" i="3"/>
  <c r="O48" i="3"/>
  <c r="Q20" i="3"/>
  <c r="Q27" i="3"/>
  <c r="Q34" i="3"/>
  <c r="Q55" i="3"/>
  <c r="Q62" i="3"/>
  <c r="O18" i="3"/>
  <c r="Q18" i="3" s="1"/>
  <c r="O32" i="3"/>
  <c r="O39" i="3"/>
  <c r="Q39" i="3" s="1"/>
  <c r="O46" i="3"/>
  <c r="Q46" i="3" s="1"/>
  <c r="O53" i="3"/>
  <c r="Q53" i="3" s="1"/>
  <c r="O60" i="3"/>
  <c r="Q25" i="3"/>
  <c r="O16" i="3"/>
  <c r="O23" i="3"/>
  <c r="O30" i="3"/>
  <c r="O37" i="3"/>
  <c r="Q37" i="3" s="1"/>
  <c r="O44" i="3"/>
  <c r="O51" i="3"/>
  <c r="Q51" i="3" s="1"/>
  <c r="O58" i="3"/>
  <c r="Q58" i="3" s="1"/>
  <c r="M65" i="3"/>
  <c r="O59" i="3"/>
  <c r="Q59" i="3" s="1"/>
  <c r="Q31" i="3"/>
  <c r="O57" i="3"/>
  <c r="Q57" i="3" s="1"/>
  <c r="Q29" i="3"/>
  <c r="O21" i="3"/>
  <c r="O28" i="3"/>
  <c r="O35" i="3"/>
  <c r="O42" i="3"/>
  <c r="Q42" i="3" s="1"/>
  <c r="O49" i="3"/>
  <c r="O56" i="3"/>
  <c r="Q56" i="3" s="1"/>
  <c r="O63" i="3"/>
  <c r="Q63" i="3" s="1"/>
  <c r="S63" i="2"/>
  <c r="S31" i="2"/>
  <c r="S56" i="2"/>
  <c r="S52" i="2"/>
  <c r="S38" i="2"/>
  <c r="S24" i="2"/>
  <c r="S54" i="2"/>
  <c r="S42" i="2"/>
  <c r="Q25" i="2"/>
  <c r="S25" i="2" s="1"/>
  <c r="Q39" i="2"/>
  <c r="S53" i="2"/>
  <c r="Q23" i="2"/>
  <c r="S23" i="2" s="1"/>
  <c r="Q37" i="2"/>
  <c r="S37" i="2" s="1"/>
  <c r="Q44" i="2"/>
  <c r="S44" i="2" s="1"/>
  <c r="Q58" i="2"/>
  <c r="S58" i="2" s="1"/>
  <c r="S30" i="2"/>
  <c r="Q35" i="2"/>
  <c r="S35" i="2" s="1"/>
  <c r="Q42" i="2"/>
  <c r="Q56" i="2"/>
  <c r="Q63" i="2"/>
  <c r="S21" i="2"/>
  <c r="S28" i="2"/>
  <c r="S49" i="2"/>
  <c r="Q26" i="2"/>
  <c r="S26" i="2" s="1"/>
  <c r="Q33" i="2"/>
  <c r="S33" i="2" s="1"/>
  <c r="Q54" i="2"/>
  <c r="Q61" i="2"/>
  <c r="S61" i="2" s="1"/>
  <c r="Q18" i="2"/>
  <c r="S18" i="2" s="1"/>
  <c r="Q46" i="2"/>
  <c r="S46" i="2" s="1"/>
  <c r="Q60" i="2"/>
  <c r="Q24" i="2"/>
  <c r="Q31" i="2"/>
  <c r="Q38" i="2"/>
  <c r="Q45" i="2"/>
  <c r="S45" i="2" s="1"/>
  <c r="Q52" i="2"/>
  <c r="Q59" i="2"/>
  <c r="S59" i="2" s="1"/>
  <c r="Q53" i="2"/>
  <c r="S39" i="2"/>
  <c r="S60" i="2"/>
  <c r="Q51" i="2"/>
  <c r="S51" i="2" s="1"/>
  <c r="Q32" i="2"/>
  <c r="S32" i="2"/>
  <c r="G25" i="2"/>
  <c r="K25" i="2" s="1"/>
  <c r="R26" i="1"/>
  <c r="T26" i="1" s="1"/>
  <c r="R34" i="1"/>
  <c r="T34" i="1" s="1"/>
  <c r="R44" i="1"/>
  <c r="T44" i="1" s="1"/>
  <c r="T21" i="1"/>
  <c r="R31" i="1"/>
  <c r="T31" i="1" s="1"/>
  <c r="R39" i="1"/>
  <c r="T39" i="1" s="1"/>
  <c r="T27" i="1"/>
  <c r="H20" i="1"/>
  <c r="L20" i="1" s="1"/>
  <c r="H22" i="1"/>
  <c r="H26" i="1"/>
  <c r="H28" i="1"/>
  <c r="H32" i="1"/>
  <c r="L32" i="1" s="1"/>
  <c r="H34" i="1"/>
  <c r="H38" i="1"/>
  <c r="L38" i="1" s="1"/>
  <c r="H40" i="1"/>
  <c r="L40" i="1" s="1"/>
  <c r="H44" i="1"/>
  <c r="H46" i="1"/>
  <c r="L46" i="1" s="1"/>
  <c r="R19" i="1"/>
  <c r="T19" i="1" s="1"/>
  <c r="R45" i="1"/>
  <c r="T45" i="1" s="1"/>
  <c r="T33" i="1"/>
  <c r="R25" i="1"/>
  <c r="T25" i="1" s="1"/>
  <c r="T37" i="1"/>
  <c r="J26" i="1"/>
  <c r="J34" i="1"/>
  <c r="J44" i="1"/>
  <c r="N20" i="1"/>
  <c r="N22" i="1"/>
  <c r="N28" i="1"/>
  <c r="N32" i="1"/>
  <c r="N38" i="1"/>
  <c r="N40" i="1"/>
  <c r="N46" i="1"/>
  <c r="T43" i="1" l="1"/>
  <c r="I18" i="4"/>
  <c r="J18" i="4"/>
  <c r="L22" i="1"/>
  <c r="F14" i="4"/>
  <c r="I12" i="4"/>
  <c r="L19" i="1"/>
  <c r="L28" i="1"/>
  <c r="L26" i="1"/>
  <c r="L39" i="1"/>
  <c r="L37" i="1"/>
  <c r="J12" i="4"/>
  <c r="L27" i="1"/>
  <c r="L44" i="1"/>
  <c r="I10" i="4"/>
  <c r="J10" i="4"/>
  <c r="L31" i="1"/>
  <c r="L33" i="1"/>
  <c r="L25" i="1"/>
  <c r="L34" i="1"/>
  <c r="O65" i="3"/>
  <c r="Q65" i="3" s="1"/>
  <c r="R46" i="1"/>
  <c r="T46" i="1" s="1"/>
  <c r="R40" i="1"/>
  <c r="T40" i="1" s="1"/>
  <c r="R38" i="1"/>
  <c r="T38" i="1" s="1"/>
  <c r="R22" i="1"/>
  <c r="T22" i="1" s="1"/>
  <c r="R32" i="1"/>
  <c r="T32" i="1" s="1"/>
  <c r="R28" i="1"/>
  <c r="T28" i="1" s="1"/>
  <c r="R20" i="1"/>
  <c r="T20" i="1" s="1"/>
  <c r="K18" i="4" l="1"/>
  <c r="N18" i="4" s="1"/>
  <c r="K10" i="4"/>
  <c r="N10" i="4" s="1"/>
  <c r="J14" i="4"/>
  <c r="I14" i="4"/>
  <c r="K12" i="4"/>
  <c r="N12" i="4" s="1"/>
  <c r="D6" i="8" s="1"/>
  <c r="D33" i="8" s="1"/>
  <c r="D34" i="8" s="1"/>
  <c r="D11" i="8" l="1"/>
  <c r="D13" i="8" s="1"/>
  <c r="D21" i="8"/>
  <c r="H21" i="8" s="1"/>
  <c r="D22" i="8"/>
  <c r="H22" i="8" s="1"/>
  <c r="D17" i="8"/>
  <c r="D9" i="8"/>
  <c r="H9" i="8" s="1"/>
  <c r="E34" i="8"/>
  <c r="E36" i="8" s="1"/>
  <c r="E38" i="8"/>
  <c r="E39" i="8" s="1"/>
  <c r="H6" i="8"/>
  <c r="B45" i="7" s="1"/>
  <c r="N47" i="4"/>
  <c r="N55" i="4" s="1"/>
  <c r="D5" i="8"/>
  <c r="H5" i="8" s="1"/>
  <c r="K14" i="4"/>
  <c r="N14" i="4" s="1"/>
  <c r="D7" i="8" s="1"/>
  <c r="H7" i="8" s="1"/>
  <c r="H11" i="8" l="1"/>
  <c r="N49" i="4"/>
  <c r="N51" i="4" s="1"/>
  <c r="N57" i="4"/>
  <c r="N59" i="4" s="1"/>
  <c r="B10" i="7"/>
  <c r="B33" i="7"/>
  <c r="F39" i="8"/>
  <c r="H13" i="8"/>
  <c r="B11" i="7" l="1"/>
  <c r="B13" i="7" s="1"/>
  <c r="B11" i="20"/>
  <c r="H12" i="20"/>
  <c r="B27" i="20"/>
  <c r="B46" i="7"/>
  <c r="B34" i="7"/>
  <c r="B55" i="7" s="1"/>
  <c r="AM36" i="10"/>
  <c r="AM34" i="10"/>
  <c r="AM35" i="10"/>
  <c r="N62" i="4"/>
  <c r="H25" i="7" s="1"/>
  <c r="H26" i="7" s="1"/>
  <c r="H27" i="7" s="1"/>
  <c r="H12" i="7"/>
  <c r="J13" i="11" l="1"/>
  <c r="K13" i="11" s="1"/>
  <c r="B20" i="7"/>
  <c r="J15" i="11"/>
  <c r="K15" i="11" s="1"/>
  <c r="B41" i="7"/>
  <c r="B44" i="7" s="1"/>
  <c r="B35" i="20"/>
  <c r="B34" i="20"/>
  <c r="B36" i="20"/>
  <c r="B31" i="20"/>
  <c r="B29" i="20"/>
  <c r="J25" i="20" s="1"/>
  <c r="B54" i="7"/>
  <c r="B53" i="7"/>
  <c r="B50" i="7"/>
  <c r="B48" i="7"/>
  <c r="B38" i="7"/>
  <c r="B36" i="7"/>
  <c r="Z34" i="10" s="1"/>
  <c r="D63" i="10" s="1"/>
  <c r="B20" i="20"/>
  <c r="I21" i="19" s="1"/>
  <c r="J21" i="19" s="1"/>
  <c r="B15" i="20"/>
  <c r="B13" i="20"/>
  <c r="B18" i="20"/>
  <c r="I19" i="19" s="1"/>
  <c r="J19" i="19" s="1"/>
  <c r="B19" i="20"/>
  <c r="I20" i="19" s="1"/>
  <c r="J20" i="19" s="1"/>
  <c r="AM38" i="10"/>
  <c r="B18" i="7"/>
  <c r="B25" i="7"/>
  <c r="B19" i="7"/>
  <c r="B15" i="7"/>
  <c r="Z14" i="10"/>
  <c r="D60" i="10" s="1"/>
  <c r="Z5" i="10"/>
  <c r="D51" i="10" s="1"/>
  <c r="Z15" i="10"/>
  <c r="D61" i="10" s="1"/>
  <c r="Z6" i="10"/>
  <c r="D52" i="10" s="1"/>
  <c r="H82" i="19" s="1"/>
  <c r="Z8" i="10"/>
  <c r="D54" i="10" s="1"/>
  <c r="Z10" i="10"/>
  <c r="D56" i="10" s="1"/>
  <c r="Z7" i="10"/>
  <c r="D53" i="10" s="1"/>
  <c r="Z11" i="10"/>
  <c r="D57" i="10" s="1"/>
  <c r="Z13" i="10"/>
  <c r="D59" i="10" s="1"/>
  <c r="Z4" i="10"/>
  <c r="D50" i="10" s="1"/>
  <c r="Z12" i="10"/>
  <c r="D58" i="10" s="1"/>
  <c r="J4" i="11"/>
  <c r="K4" i="11" s="1"/>
  <c r="J10" i="11"/>
  <c r="K10" i="11" s="1"/>
  <c r="J8" i="11"/>
  <c r="K8" i="11" s="1"/>
  <c r="J11" i="11"/>
  <c r="K11" i="11" s="1"/>
  <c r="J5" i="11"/>
  <c r="K5" i="11" s="1"/>
  <c r="J12" i="11"/>
  <c r="K12" i="11" s="1"/>
  <c r="J6" i="11"/>
  <c r="K6" i="11" s="1"/>
  <c r="J9" i="11"/>
  <c r="K9" i="11" s="1"/>
  <c r="J7" i="11"/>
  <c r="K7" i="11" s="1"/>
  <c r="J14" i="11"/>
  <c r="K14" i="11" s="1"/>
  <c r="Z9" i="10"/>
  <c r="D55" i="10" s="1"/>
  <c r="B21" i="7"/>
  <c r="N15" i="9"/>
  <c r="N10" i="9"/>
  <c r="N16" i="9"/>
  <c r="N17" i="9" l="1"/>
  <c r="J23" i="19"/>
  <c r="BF3" i="15"/>
  <c r="B4" i="25"/>
  <c r="AB9" i="15"/>
  <c r="AB7" i="15"/>
  <c r="AB15" i="15"/>
  <c r="AB6" i="15"/>
  <c r="AB5" i="15"/>
  <c r="AB10" i="15"/>
  <c r="AB12" i="15"/>
  <c r="AB8" i="15"/>
  <c r="AB13" i="15"/>
  <c r="AB14" i="15"/>
  <c r="AB11" i="15"/>
  <c r="AB16" i="15"/>
  <c r="T12" i="9"/>
  <c r="T10" i="24"/>
  <c r="T6" i="24"/>
  <c r="T17" i="24"/>
  <c r="T20" i="24"/>
  <c r="T15" i="24"/>
  <c r="T12" i="24"/>
  <c r="T9" i="24"/>
  <c r="T7" i="24"/>
  <c r="T21" i="24"/>
  <c r="T14" i="24"/>
  <c r="T8" i="24"/>
  <c r="T11" i="24"/>
  <c r="T16" i="24"/>
  <c r="T19" i="24"/>
  <c r="T18" i="24"/>
  <c r="T13" i="24"/>
  <c r="Z35" i="10"/>
  <c r="D64" i="10" s="1"/>
  <c r="N17" i="24"/>
  <c r="N10" i="24"/>
  <c r="N16" i="24"/>
  <c r="N15" i="24"/>
  <c r="Z36" i="10"/>
  <c r="D65" i="10" s="1"/>
  <c r="D9" i="16"/>
  <c r="D19" i="16"/>
  <c r="D11" i="16"/>
  <c r="D12" i="16"/>
  <c r="D15" i="16"/>
  <c r="D17" i="16"/>
  <c r="D18" i="16"/>
  <c r="D6" i="16"/>
  <c r="D16" i="16"/>
  <c r="D5" i="16"/>
  <c r="D13" i="16"/>
  <c r="D8" i="16"/>
  <c r="J7" i="20"/>
  <c r="D14" i="16"/>
  <c r="D10" i="16"/>
  <c r="D4" i="16"/>
  <c r="D7" i="16"/>
  <c r="W7" i="24"/>
  <c r="W21" i="24"/>
  <c r="N11" i="24"/>
  <c r="W18" i="24"/>
  <c r="N14" i="24"/>
  <c r="W6" i="24"/>
  <c r="W16" i="24"/>
  <c r="N18" i="24"/>
  <c r="W20" i="24"/>
  <c r="N9" i="24"/>
  <c r="N20" i="24"/>
  <c r="N8" i="24"/>
  <c r="W14" i="24"/>
  <c r="W19" i="24"/>
  <c r="N21" i="24"/>
  <c r="W15" i="24"/>
  <c r="W9" i="24"/>
  <c r="W8" i="24"/>
  <c r="W10" i="24"/>
  <c r="N6" i="24"/>
  <c r="W17" i="24"/>
  <c r="W13" i="24"/>
  <c r="N12" i="24"/>
  <c r="W11" i="24"/>
  <c r="N19" i="24"/>
  <c r="N13" i="24"/>
  <c r="N7" i="24"/>
  <c r="W12" i="24"/>
  <c r="P10" i="24"/>
  <c r="P7" i="24"/>
  <c r="P21" i="24"/>
  <c r="P19" i="24"/>
  <c r="P13" i="24"/>
  <c r="P8" i="24"/>
  <c r="P20" i="24"/>
  <c r="P15" i="24"/>
  <c r="P12" i="24"/>
  <c r="P17" i="24"/>
  <c r="P11" i="24"/>
  <c r="P14" i="24"/>
  <c r="P16" i="24"/>
  <c r="P6" i="24"/>
  <c r="P9" i="24"/>
  <c r="P18" i="24"/>
  <c r="BF2" i="15"/>
  <c r="C4" i="25"/>
  <c r="AB20" i="15"/>
  <c r="AB19" i="15"/>
  <c r="AB17" i="15"/>
  <c r="AB18" i="15"/>
  <c r="L19" i="9"/>
  <c r="L18" i="24"/>
  <c r="L15" i="24"/>
  <c r="L8" i="24"/>
  <c r="L11" i="24"/>
  <c r="L7" i="24"/>
  <c r="L19" i="24"/>
  <c r="L10" i="24"/>
  <c r="L6" i="24"/>
  <c r="L13" i="24"/>
  <c r="L9" i="24"/>
  <c r="L21" i="24"/>
  <c r="L12" i="24"/>
  <c r="L14" i="24"/>
  <c r="L17" i="24"/>
  <c r="L20" i="24"/>
  <c r="L16" i="24"/>
  <c r="Z33" i="10"/>
  <c r="BD3" i="15"/>
  <c r="AJ5" i="15"/>
  <c r="I32" i="19"/>
  <c r="B3" i="25"/>
  <c r="C20" i="20"/>
  <c r="Z16" i="15"/>
  <c r="Z10" i="15"/>
  <c r="AJ18" i="15"/>
  <c r="P17" i="16" s="1"/>
  <c r="Z14" i="15"/>
  <c r="AJ19" i="15"/>
  <c r="P18" i="16" s="1"/>
  <c r="AJ20" i="15"/>
  <c r="P19" i="16" s="1"/>
  <c r="AJ9" i="15"/>
  <c r="P8" i="16" s="1"/>
  <c r="AJ10" i="15"/>
  <c r="P9" i="16" s="1"/>
  <c r="AJ13" i="15"/>
  <c r="P12" i="16" s="1"/>
  <c r="Z7" i="15"/>
  <c r="Z6" i="15"/>
  <c r="Z5" i="15"/>
  <c r="AJ6" i="15"/>
  <c r="P5" i="16" s="1"/>
  <c r="AJ14" i="15"/>
  <c r="P13" i="16" s="1"/>
  <c r="AJ11" i="15"/>
  <c r="AJ15" i="15"/>
  <c r="P14" i="16" s="1"/>
  <c r="AJ16" i="15"/>
  <c r="P15" i="16" s="1"/>
  <c r="Z12" i="15"/>
  <c r="Z15" i="15"/>
  <c r="Z9" i="15"/>
  <c r="AJ12" i="15"/>
  <c r="P11" i="16" s="1"/>
  <c r="Z8" i="15"/>
  <c r="AJ17" i="15"/>
  <c r="P16" i="16" s="1"/>
  <c r="Z13" i="15"/>
  <c r="Z11" i="15"/>
  <c r="AJ8" i="15"/>
  <c r="P7" i="16" s="1"/>
  <c r="AJ7" i="15"/>
  <c r="P6" i="16" s="1"/>
  <c r="C2" i="25"/>
  <c r="BB2" i="15"/>
  <c r="X19" i="15"/>
  <c r="X17" i="15"/>
  <c r="X20" i="15"/>
  <c r="X18" i="15"/>
  <c r="BB3" i="15"/>
  <c r="B2" i="25"/>
  <c r="X12" i="15"/>
  <c r="X7" i="15"/>
  <c r="X11" i="15"/>
  <c r="X9" i="15"/>
  <c r="X10" i="15"/>
  <c r="X8" i="15"/>
  <c r="X6" i="15"/>
  <c r="X13" i="15"/>
  <c r="X14" i="15"/>
  <c r="X15" i="15"/>
  <c r="X5" i="15"/>
  <c r="X16" i="15"/>
  <c r="C3" i="25"/>
  <c r="BD2" i="15"/>
  <c r="Z19" i="15"/>
  <c r="Z18" i="15"/>
  <c r="C37" i="20"/>
  <c r="Z17" i="15"/>
  <c r="Z20" i="15"/>
  <c r="L20" i="9"/>
  <c r="L7" i="9"/>
  <c r="L14" i="9"/>
  <c r="L10" i="9"/>
  <c r="L21" i="9"/>
  <c r="L12" i="9"/>
  <c r="L15" i="9"/>
  <c r="L16" i="9"/>
  <c r="L13" i="9"/>
  <c r="N20" i="9"/>
  <c r="W6" i="9"/>
  <c r="L11" i="9"/>
  <c r="N14" i="9"/>
  <c r="N21" i="9"/>
  <c r="L8" i="9"/>
  <c r="L18" i="9"/>
  <c r="N12" i="9"/>
  <c r="L6" i="9"/>
  <c r="L9" i="9"/>
  <c r="N13" i="9"/>
  <c r="L17" i="9"/>
  <c r="T14" i="9"/>
  <c r="N7" i="9"/>
  <c r="W20" i="9"/>
  <c r="AQ14" i="10" s="1"/>
  <c r="W21" i="9"/>
  <c r="AQ15" i="10" s="1"/>
  <c r="W16" i="9"/>
  <c r="W7" i="9"/>
  <c r="AQ5" i="10" s="1"/>
  <c r="W8" i="9"/>
  <c r="AQ6" i="10" s="1"/>
  <c r="W9" i="9"/>
  <c r="AQ7" i="10" s="1"/>
  <c r="W10" i="9"/>
  <c r="W18" i="9"/>
  <c r="AQ12" i="10" s="1"/>
  <c r="W11" i="9"/>
  <c r="AQ8" i="10" s="1"/>
  <c r="W12" i="9"/>
  <c r="AQ9" i="10" s="1"/>
  <c r="W13" i="9"/>
  <c r="AQ10" i="10" s="1"/>
  <c r="W15" i="9"/>
  <c r="W17" i="9"/>
  <c r="W19" i="9"/>
  <c r="AQ13" i="10" s="1"/>
  <c r="W14" i="9"/>
  <c r="AQ11" i="10" s="1"/>
  <c r="N19" i="9"/>
  <c r="N6" i="9"/>
  <c r="T16" i="9"/>
  <c r="T20" i="9"/>
  <c r="T18" i="9"/>
  <c r="T10" i="9"/>
  <c r="T19" i="9"/>
  <c r="T6" i="9"/>
  <c r="T9" i="9"/>
  <c r="T7" i="9"/>
  <c r="T11" i="9"/>
  <c r="T17" i="9"/>
  <c r="T15" i="9"/>
  <c r="N9" i="9"/>
  <c r="N11" i="9"/>
  <c r="T21" i="9"/>
  <c r="T8" i="9"/>
  <c r="T13" i="9"/>
  <c r="N18" i="9"/>
  <c r="N8" i="9"/>
  <c r="P6" i="9"/>
  <c r="P7" i="9"/>
  <c r="P10" i="9"/>
  <c r="R10" i="9" s="1"/>
  <c r="AA33" i="10" s="1"/>
  <c r="P11" i="9"/>
  <c r="P8" i="9"/>
  <c r="P18" i="9"/>
  <c r="P14" i="9"/>
  <c r="P21" i="9"/>
  <c r="P20" i="9"/>
  <c r="P9" i="9"/>
  <c r="P17" i="9"/>
  <c r="P19" i="9"/>
  <c r="P13" i="9"/>
  <c r="P15" i="9"/>
  <c r="P16" i="9"/>
  <c r="P12" i="9"/>
  <c r="AC20" i="15" l="1"/>
  <c r="E19" i="16" s="1"/>
  <c r="H19" i="16" s="1"/>
  <c r="AC19" i="15"/>
  <c r="E18" i="16" s="1"/>
  <c r="H18" i="16" s="1"/>
  <c r="AC12" i="15"/>
  <c r="E11" i="16" s="1"/>
  <c r="H11" i="16" s="1"/>
  <c r="U15" i="9"/>
  <c r="AA15" i="9" s="1"/>
  <c r="AC17" i="15"/>
  <c r="E16" i="16" s="1"/>
  <c r="H16" i="16" s="1"/>
  <c r="R20" i="9"/>
  <c r="AA14" i="10" s="1"/>
  <c r="AB14" i="10" s="1"/>
  <c r="AC14" i="10" s="1"/>
  <c r="R16" i="24"/>
  <c r="AC7" i="15"/>
  <c r="E6" i="16" s="1"/>
  <c r="H6" i="16" s="1"/>
  <c r="U9" i="24"/>
  <c r="U8" i="24"/>
  <c r="AC16" i="15"/>
  <c r="E15" i="16" s="1"/>
  <c r="H15" i="16" s="1"/>
  <c r="AC18" i="15"/>
  <c r="E17" i="16" s="1"/>
  <c r="H17" i="16" s="1"/>
  <c r="AC13" i="15"/>
  <c r="E12" i="16" s="1"/>
  <c r="H12" i="16" s="1"/>
  <c r="AC10" i="15"/>
  <c r="E9" i="16" s="1"/>
  <c r="H9" i="16" s="1"/>
  <c r="R19" i="24"/>
  <c r="AC9" i="15"/>
  <c r="E8" i="16" s="1"/>
  <c r="H8" i="16" s="1"/>
  <c r="AJ21" i="15"/>
  <c r="M46" i="15" s="1"/>
  <c r="P4" i="16"/>
  <c r="U7" i="24"/>
  <c r="R7" i="24"/>
  <c r="AC11" i="15"/>
  <c r="E10" i="16" s="1"/>
  <c r="H10" i="16" s="1"/>
  <c r="BE5" i="15"/>
  <c r="BE16" i="15"/>
  <c r="BE6" i="15"/>
  <c r="BE12" i="15"/>
  <c r="BE11" i="15"/>
  <c r="BE9" i="15"/>
  <c r="BE7" i="15"/>
  <c r="BE13" i="15"/>
  <c r="BE14" i="15"/>
  <c r="BE10" i="15"/>
  <c r="BE15" i="15"/>
  <c r="BE8" i="15"/>
  <c r="U11" i="24"/>
  <c r="R11" i="24"/>
  <c r="D21" i="16"/>
  <c r="U14" i="24"/>
  <c r="U17" i="24"/>
  <c r="BI20" i="15" s="1"/>
  <c r="R17" i="24"/>
  <c r="R14" i="24"/>
  <c r="AC5" i="15"/>
  <c r="R12" i="24"/>
  <c r="U12" i="24"/>
  <c r="AB33" i="10"/>
  <c r="AC33" i="10" s="1"/>
  <c r="E62" i="10"/>
  <c r="R21" i="24"/>
  <c r="U21" i="24"/>
  <c r="R8" i="24"/>
  <c r="N22" i="24"/>
  <c r="W22" i="24"/>
  <c r="R15" i="24"/>
  <c r="U15" i="24"/>
  <c r="BI18" i="15" s="1"/>
  <c r="R20" i="24"/>
  <c r="U20" i="24"/>
  <c r="U18" i="24"/>
  <c r="R18" i="24"/>
  <c r="BC9" i="15"/>
  <c r="BC7" i="15"/>
  <c r="BC13" i="15"/>
  <c r="BC8" i="15"/>
  <c r="BC5" i="15"/>
  <c r="BC14" i="15"/>
  <c r="BC10" i="15"/>
  <c r="BC12" i="15"/>
  <c r="BC16" i="15"/>
  <c r="BC6" i="15"/>
  <c r="BC11" i="15"/>
  <c r="AC14" i="15"/>
  <c r="E13" i="16" s="1"/>
  <c r="H13" i="16" s="1"/>
  <c r="R9" i="24"/>
  <c r="R13" i="24"/>
  <c r="T22" i="24"/>
  <c r="BC17" i="15"/>
  <c r="BC19" i="15"/>
  <c r="BC18" i="15"/>
  <c r="BC20" i="15"/>
  <c r="J32" i="19"/>
  <c r="J34" i="19" s="1"/>
  <c r="P10" i="16"/>
  <c r="U13" i="24"/>
  <c r="P22" i="24"/>
  <c r="BE18" i="15"/>
  <c r="BE20" i="15"/>
  <c r="BE19" i="15"/>
  <c r="BE17" i="15"/>
  <c r="AC15" i="15"/>
  <c r="E14" i="16" s="1"/>
  <c r="H14" i="16" s="1"/>
  <c r="AC6" i="15"/>
  <c r="E5" i="16" s="1"/>
  <c r="H5" i="16" s="1"/>
  <c r="R6" i="24"/>
  <c r="L22" i="24"/>
  <c r="U6" i="24"/>
  <c r="BG19" i="15"/>
  <c r="BG17" i="15"/>
  <c r="BG18" i="15"/>
  <c r="BG20" i="15"/>
  <c r="U19" i="24"/>
  <c r="BG14" i="15"/>
  <c r="BG16" i="15"/>
  <c r="BG5" i="15"/>
  <c r="BG11" i="15"/>
  <c r="BG13" i="15"/>
  <c r="BG7" i="15"/>
  <c r="BG15" i="15"/>
  <c r="BG8" i="15"/>
  <c r="BG12" i="15"/>
  <c r="BG9" i="15"/>
  <c r="BG6" i="15"/>
  <c r="BG10" i="15"/>
  <c r="D62" i="10"/>
  <c r="AC8" i="15"/>
  <c r="E7" i="16" s="1"/>
  <c r="H7" i="16" s="1"/>
  <c r="U10" i="24"/>
  <c r="BI17" i="15" s="1"/>
  <c r="R10" i="24"/>
  <c r="U16" i="24"/>
  <c r="BI19" i="15" s="1"/>
  <c r="U16" i="9"/>
  <c r="AA16" i="9" s="1"/>
  <c r="U20" i="9"/>
  <c r="AF14" i="10" s="1"/>
  <c r="U12" i="9"/>
  <c r="AA12" i="9" s="1"/>
  <c r="U10" i="9"/>
  <c r="R16" i="9"/>
  <c r="AA35" i="10" s="1"/>
  <c r="E64" i="10" s="1"/>
  <c r="H64" i="10" s="1"/>
  <c r="R15" i="9"/>
  <c r="AA34" i="10" s="1"/>
  <c r="E63" i="10" s="1"/>
  <c r="H63" i="10" s="1"/>
  <c r="R13" i="9"/>
  <c r="AA10" i="10" s="1"/>
  <c r="AB10" i="10" s="1"/>
  <c r="AC10" i="10" s="1"/>
  <c r="R14" i="9"/>
  <c r="AA11" i="10" s="1"/>
  <c r="AB11" i="10" s="1"/>
  <c r="AC11" i="10" s="1"/>
  <c r="U7" i="9"/>
  <c r="U14" i="9"/>
  <c r="AA14" i="9" s="1"/>
  <c r="R12" i="9"/>
  <c r="AA9" i="10" s="1"/>
  <c r="AB9" i="10" s="1"/>
  <c r="AC9" i="10" s="1"/>
  <c r="L22" i="9"/>
  <c r="R21" i="9"/>
  <c r="AA15" i="10" s="1"/>
  <c r="AB15" i="10" s="1"/>
  <c r="AC15" i="10" s="1"/>
  <c r="U6" i="9"/>
  <c r="AA6" i="9" s="1"/>
  <c r="R7" i="9"/>
  <c r="AA5" i="10" s="1"/>
  <c r="AB5" i="10" s="1"/>
  <c r="AC5" i="10" s="1"/>
  <c r="R17" i="9"/>
  <c r="AA36" i="10" s="1"/>
  <c r="E65" i="10" s="1"/>
  <c r="H65" i="10" s="1"/>
  <c r="R19" i="9"/>
  <c r="AA13" i="10" s="1"/>
  <c r="AB13" i="10" s="1"/>
  <c r="AC13" i="10" s="1"/>
  <c r="U19" i="9"/>
  <c r="AA19" i="9" s="1"/>
  <c r="U17" i="9"/>
  <c r="AA17" i="9" s="1"/>
  <c r="U13" i="9"/>
  <c r="AA13" i="9" s="1"/>
  <c r="U21" i="9"/>
  <c r="AA21" i="9" s="1"/>
  <c r="U18" i="9"/>
  <c r="AA18" i="9" s="1"/>
  <c r="R8" i="9"/>
  <c r="AA6" i="10" s="1"/>
  <c r="AB6" i="10" s="1"/>
  <c r="AC6" i="10" s="1"/>
  <c r="U11" i="9"/>
  <c r="AA11" i="9" s="1"/>
  <c r="AQ4" i="10"/>
  <c r="W22" i="9"/>
  <c r="N22" i="9"/>
  <c r="U9" i="9"/>
  <c r="AA9" i="9" s="1"/>
  <c r="R9" i="9"/>
  <c r="AA7" i="10" s="1"/>
  <c r="AB7" i="10" s="1"/>
  <c r="AC7" i="10" s="1"/>
  <c r="R11" i="9"/>
  <c r="AA8" i="10" s="1"/>
  <c r="AB8" i="10" s="1"/>
  <c r="AC8" i="10" s="1"/>
  <c r="U8" i="9"/>
  <c r="AA8" i="9" s="1"/>
  <c r="T22" i="9"/>
  <c r="R18" i="9"/>
  <c r="AA12" i="10" s="1"/>
  <c r="AB12" i="10" s="1"/>
  <c r="AC12" i="10" s="1"/>
  <c r="P22" i="9"/>
  <c r="R6" i="9"/>
  <c r="AA4" i="10" s="1"/>
  <c r="AB4" i="10" s="1"/>
  <c r="AC4" i="10" s="1"/>
  <c r="BH15" i="15" l="1"/>
  <c r="BS15" i="15" s="1"/>
  <c r="BV15" i="15" s="1"/>
  <c r="CG15" i="15" s="1"/>
  <c r="AF34" i="10"/>
  <c r="AG34" i="10" s="1"/>
  <c r="AH34" i="10" s="1"/>
  <c r="AN34" i="10" s="1"/>
  <c r="CD18" i="15" s="1"/>
  <c r="BH13" i="15"/>
  <c r="BS13" i="15" s="1"/>
  <c r="BV13" i="15" s="1"/>
  <c r="CG13" i="15" s="1"/>
  <c r="H62" i="10"/>
  <c r="BH16" i="15"/>
  <c r="BI10" i="15"/>
  <c r="BH14" i="15"/>
  <c r="BS14" i="15" s="1"/>
  <c r="BV14" i="15" s="1"/>
  <c r="CG14" i="15" s="1"/>
  <c r="AF9" i="10"/>
  <c r="AG9" i="10" s="1"/>
  <c r="AH9" i="10" s="1"/>
  <c r="AI9" i="10" s="1"/>
  <c r="BH5" i="15"/>
  <c r="BS5" i="15" s="1"/>
  <c r="AF35" i="10"/>
  <c r="AG35" i="10" s="1"/>
  <c r="AH35" i="10" s="1"/>
  <c r="AN35" i="10" s="1"/>
  <c r="CD19" i="15" s="1"/>
  <c r="BH17" i="15"/>
  <c r="BJ17" i="15" s="1"/>
  <c r="E55" i="10"/>
  <c r="BH12" i="15"/>
  <c r="BH19" i="15"/>
  <c r="R22" i="24"/>
  <c r="BH8" i="15"/>
  <c r="BS8" i="15" s="1"/>
  <c r="BV8" i="15" s="1"/>
  <c r="CG8" i="15" s="1"/>
  <c r="BH7" i="15"/>
  <c r="BS7" i="15" s="1"/>
  <c r="BV7" i="15" s="1"/>
  <c r="BH20" i="15"/>
  <c r="BS20" i="15" s="1"/>
  <c r="BV20" i="15" s="1"/>
  <c r="CG20" i="15" s="1"/>
  <c r="AF33" i="10"/>
  <c r="AG33" i="10" s="1"/>
  <c r="AH33" i="10" s="1"/>
  <c r="AN33" i="10" s="1"/>
  <c r="CD17" i="15" s="1"/>
  <c r="AA10" i="9"/>
  <c r="AG14" i="10"/>
  <c r="AH14" i="10" s="1"/>
  <c r="AI14" i="10" s="1"/>
  <c r="E60" i="10"/>
  <c r="BH9" i="15"/>
  <c r="BS9" i="15" s="1"/>
  <c r="BV9" i="15" s="1"/>
  <c r="CG9" i="15" s="1"/>
  <c r="P21" i="16"/>
  <c r="BI15" i="15"/>
  <c r="AA20" i="9"/>
  <c r="U22" i="24"/>
  <c r="BH18" i="15"/>
  <c r="BI6" i="15"/>
  <c r="AA7" i="9"/>
  <c r="BH11" i="15"/>
  <c r="BH10" i="15"/>
  <c r="BS10" i="15" s="1"/>
  <c r="BV10" i="15" s="1"/>
  <c r="CG10" i="15" s="1"/>
  <c r="BH6" i="15"/>
  <c r="BS6" i="15" s="1"/>
  <c r="BV6" i="15" s="1"/>
  <c r="CG6" i="15" s="1"/>
  <c r="E4" i="16"/>
  <c r="AC21" i="15"/>
  <c r="AF5" i="10"/>
  <c r="AF4" i="10"/>
  <c r="BI5" i="15"/>
  <c r="AF10" i="10"/>
  <c r="BI11" i="15"/>
  <c r="AF6" i="10"/>
  <c r="BI7" i="15"/>
  <c r="AF7" i="10"/>
  <c r="BI8" i="15"/>
  <c r="BJ8" i="15" s="1"/>
  <c r="AF12" i="10"/>
  <c r="BI13" i="15"/>
  <c r="BJ13" i="15" s="1"/>
  <c r="AF15" i="10"/>
  <c r="BI16" i="15"/>
  <c r="BJ16" i="15" s="1"/>
  <c r="AF13" i="10"/>
  <c r="BI14" i="15"/>
  <c r="BJ14" i="15" s="1"/>
  <c r="AF11" i="10"/>
  <c r="BI12" i="15"/>
  <c r="AF8" i="10"/>
  <c r="BI9" i="15"/>
  <c r="AF36" i="10"/>
  <c r="AG36" i="10" s="1"/>
  <c r="AH36" i="10" s="1"/>
  <c r="AQ17" i="10"/>
  <c r="AO34" i="10"/>
  <c r="AP34" i="10" s="1"/>
  <c r="AI34" i="10"/>
  <c r="AJ34" i="10" s="1"/>
  <c r="U22" i="9"/>
  <c r="R22" i="9"/>
  <c r="AC17" i="10"/>
  <c r="AB17" i="10"/>
  <c r="BS12" i="15" l="1"/>
  <c r="BV12" i="15" s="1"/>
  <c r="CG12" i="15" s="1"/>
  <c r="U24" i="24"/>
  <c r="BJ15" i="15"/>
  <c r="CG7" i="15"/>
  <c r="J87" i="19"/>
  <c r="AL9" i="10"/>
  <c r="AR9" i="10" s="1"/>
  <c r="AS9" i="10" s="1"/>
  <c r="AT9" i="10" s="1"/>
  <c r="AU9" i="10" s="1"/>
  <c r="AV9" i="10" s="1"/>
  <c r="AW9" i="10" s="1"/>
  <c r="BJ12" i="15"/>
  <c r="AH44" i="10"/>
  <c r="AH45" i="10" s="1"/>
  <c r="BS17" i="15"/>
  <c r="BV17" i="15" s="1"/>
  <c r="CG17" i="15" s="1"/>
  <c r="BJ9" i="15"/>
  <c r="BJ20" i="15"/>
  <c r="BJ10" i="15"/>
  <c r="BJ7" i="15"/>
  <c r="AG6" i="10"/>
  <c r="AH6" i="10" s="1"/>
  <c r="AI6" i="10" s="1"/>
  <c r="E52" i="10"/>
  <c r="H83" i="19" s="1"/>
  <c r="H86" i="19" s="1"/>
  <c r="BJ11" i="15"/>
  <c r="BH21" i="15"/>
  <c r="AG8" i="10"/>
  <c r="AH8" i="10" s="1"/>
  <c r="AI8" i="10" s="1"/>
  <c r="E54" i="10"/>
  <c r="AG10" i="10"/>
  <c r="AH10" i="10" s="1"/>
  <c r="AI10" i="10" s="1"/>
  <c r="E56" i="10"/>
  <c r="BV5" i="15"/>
  <c r="CG5" i="15" s="1"/>
  <c r="U24" i="9"/>
  <c r="AA22" i="9"/>
  <c r="BS18" i="15"/>
  <c r="BV18" i="15" s="1"/>
  <c r="CG18" i="15" s="1"/>
  <c r="BJ18" i="15"/>
  <c r="AG11" i="10"/>
  <c r="AH11" i="10" s="1"/>
  <c r="AI11" i="10" s="1"/>
  <c r="E57" i="10"/>
  <c r="AG4" i="10"/>
  <c r="AH4" i="10" s="1"/>
  <c r="AI4" i="10" s="1"/>
  <c r="E50" i="10"/>
  <c r="J83" i="19"/>
  <c r="J86" i="19" s="1"/>
  <c r="BS11" i="15"/>
  <c r="BV11" i="15" s="1"/>
  <c r="CG11" i="15" s="1"/>
  <c r="AL14" i="10"/>
  <c r="AG5" i="10"/>
  <c r="AL5" i="10" s="1"/>
  <c r="E51" i="10"/>
  <c r="BS19" i="15"/>
  <c r="BV19" i="15" s="1"/>
  <c r="CG19" i="15" s="1"/>
  <c r="BJ19" i="15"/>
  <c r="AG12" i="10"/>
  <c r="AH12" i="10" s="1"/>
  <c r="AI12" i="10" s="1"/>
  <c r="E58" i="10"/>
  <c r="BJ6" i="15"/>
  <c r="AG13" i="10"/>
  <c r="AH13" i="10" s="1"/>
  <c r="AI13" i="10" s="1"/>
  <c r="E59" i="10"/>
  <c r="AM9" i="10"/>
  <c r="H55" i="10"/>
  <c r="AG7" i="10"/>
  <c r="AH7" i="10" s="1"/>
  <c r="AI7" i="10" s="1"/>
  <c r="E53" i="10"/>
  <c r="M29" i="15"/>
  <c r="O32" i="15" s="1"/>
  <c r="AC23" i="15"/>
  <c r="AG15" i="10"/>
  <c r="AH15" i="10" s="1"/>
  <c r="AI15" i="10" s="1"/>
  <c r="E61" i="10"/>
  <c r="E21" i="16"/>
  <c r="H4" i="16"/>
  <c r="H21" i="16" s="1"/>
  <c r="AL12" i="10"/>
  <c r="AR12" i="10" s="1"/>
  <c r="AS12" i="10" s="1"/>
  <c r="AT12" i="10" s="1"/>
  <c r="AU12" i="10" s="1"/>
  <c r="AV12" i="10" s="1"/>
  <c r="AW12" i="10" s="1"/>
  <c r="BI21" i="15"/>
  <c r="BJ5" i="15"/>
  <c r="AI35" i="10"/>
  <c r="AJ35" i="10" s="1"/>
  <c r="AK35" i="10" s="1"/>
  <c r="AL35" i="10" s="1"/>
  <c r="AO35" i="10"/>
  <c r="AP35" i="10" s="1"/>
  <c r="AQ34" i="10"/>
  <c r="AR34" i="10" s="1"/>
  <c r="AK34" i="10"/>
  <c r="AL34" i="10" s="1"/>
  <c r="AI33" i="10"/>
  <c r="AN36" i="10"/>
  <c r="CD20" i="15" s="1"/>
  <c r="AI36" i="10"/>
  <c r="AH38" i="10"/>
  <c r="H89" i="19" l="1"/>
  <c r="H87" i="19"/>
  <c r="H91" i="19" s="1"/>
  <c r="AL4" i="10"/>
  <c r="H50" i="10" s="1"/>
  <c r="AL11" i="10"/>
  <c r="H57" i="10" s="1"/>
  <c r="AL13" i="10"/>
  <c r="AM13" i="10" s="1"/>
  <c r="AH5" i="10"/>
  <c r="AI5" i="10" s="1"/>
  <c r="BJ21" i="15"/>
  <c r="BS21" i="15"/>
  <c r="AM14" i="10"/>
  <c r="H60" i="10"/>
  <c r="AL15" i="10"/>
  <c r="AR14" i="10"/>
  <c r="AS14" i="10" s="1"/>
  <c r="AT14" i="10" s="1"/>
  <c r="AU14" i="10" s="1"/>
  <c r="AV14" i="10" s="1"/>
  <c r="AW14" i="10" s="1"/>
  <c r="AL7" i="10"/>
  <c r="CD10" i="15"/>
  <c r="AN9" i="10"/>
  <c r="AO9" i="10" s="1"/>
  <c r="AP9" i="10" s="1"/>
  <c r="AM12" i="10"/>
  <c r="H58" i="10"/>
  <c r="AM5" i="10"/>
  <c r="H51" i="10"/>
  <c r="O29" i="15"/>
  <c r="AL10" i="10"/>
  <c r="AG17" i="10"/>
  <c r="AL8" i="10"/>
  <c r="AR5" i="10"/>
  <c r="AS5" i="10" s="1"/>
  <c r="AT5" i="10" s="1"/>
  <c r="AU5" i="10" s="1"/>
  <c r="AL6" i="10"/>
  <c r="AM15" i="10"/>
  <c r="AR13" i="10"/>
  <c r="AS13" i="10" s="1"/>
  <c r="AT13" i="10" s="1"/>
  <c r="AU13" i="10" s="1"/>
  <c r="AV13" i="10" s="1"/>
  <c r="AW13" i="10" s="1"/>
  <c r="AM4" i="10"/>
  <c r="AN4" i="10" s="1"/>
  <c r="AQ35" i="10"/>
  <c r="AR35" i="10" s="1"/>
  <c r="AJ33" i="10"/>
  <c r="AK33" i="10" s="1"/>
  <c r="AL33" i="10" s="1"/>
  <c r="AO36" i="10"/>
  <c r="AP36" i="10" s="1"/>
  <c r="AJ36" i="10"/>
  <c r="AK36" i="10" s="1"/>
  <c r="AO33" i="10"/>
  <c r="AN38" i="10"/>
  <c r="H59" i="10" l="1"/>
  <c r="AM11" i="10"/>
  <c r="AN11" i="10" s="1"/>
  <c r="AR4" i="10"/>
  <c r="AS4" i="10" s="1"/>
  <c r="AH17" i="10"/>
  <c r="AR11" i="10"/>
  <c r="AS11" i="10" s="1"/>
  <c r="AT11" i="10" s="1"/>
  <c r="AU11" i="10" s="1"/>
  <c r="AV11" i="10" s="1"/>
  <c r="AW11" i="10" s="1"/>
  <c r="AV5" i="10"/>
  <c r="AW5" i="10" s="1"/>
  <c r="CD14" i="15"/>
  <c r="AN13" i="10"/>
  <c r="AO13" i="10" s="1"/>
  <c r="CD16" i="15"/>
  <c r="AN15" i="10"/>
  <c r="AO15" i="10" s="1"/>
  <c r="H52" i="10"/>
  <c r="AR6" i="10"/>
  <c r="AS6" i="10" s="1"/>
  <c r="AT6" i="10" s="1"/>
  <c r="AU6" i="10" s="1"/>
  <c r="AV6" i="10" s="1"/>
  <c r="AW6" i="10" s="1"/>
  <c r="AM6" i="10"/>
  <c r="AM7" i="10"/>
  <c r="H53" i="10"/>
  <c r="AR7" i="10"/>
  <c r="AS7" i="10" s="1"/>
  <c r="AT7" i="10" s="1"/>
  <c r="AU7" i="10" s="1"/>
  <c r="AV7" i="10" s="1"/>
  <c r="AW7" i="10" s="1"/>
  <c r="CD6" i="15"/>
  <c r="AN5" i="10"/>
  <c r="AO5" i="10" s="1"/>
  <c r="AP5" i="10" s="1"/>
  <c r="H54" i="10"/>
  <c r="AR8" i="10"/>
  <c r="AS8" i="10" s="1"/>
  <c r="AT8" i="10" s="1"/>
  <c r="AU8" i="10" s="1"/>
  <c r="AV8" i="10" s="1"/>
  <c r="AW8" i="10" s="1"/>
  <c r="AM8" i="10"/>
  <c r="AR15" i="10"/>
  <c r="AS15" i="10" s="1"/>
  <c r="AT15" i="10" s="1"/>
  <c r="AU15" i="10" s="1"/>
  <c r="AV15" i="10" s="1"/>
  <c r="AW15" i="10" s="1"/>
  <c r="H61" i="10"/>
  <c r="H56" i="10"/>
  <c r="AM10" i="10"/>
  <c r="AR10" i="10"/>
  <c r="AS10" i="10" s="1"/>
  <c r="AT10" i="10" s="1"/>
  <c r="AU10" i="10" s="1"/>
  <c r="AV10" i="10" s="1"/>
  <c r="AW10" i="10" s="1"/>
  <c r="CD13" i="15"/>
  <c r="AN12" i="10"/>
  <c r="AO12" i="10" s="1"/>
  <c r="AP12" i="10" s="1"/>
  <c r="CD15" i="15"/>
  <c r="AN14" i="10"/>
  <c r="AO14" i="10" s="1"/>
  <c r="AP14" i="10" s="1"/>
  <c r="AT4" i="10"/>
  <c r="AU4" i="10" s="1"/>
  <c r="CD5" i="15"/>
  <c r="AO4" i="10"/>
  <c r="CD12" i="15"/>
  <c r="AO11" i="10"/>
  <c r="AP11" i="10" s="1"/>
  <c r="AQ36" i="10"/>
  <c r="AR36" i="10" s="1"/>
  <c r="AP33" i="10"/>
  <c r="AQ33" i="10" s="1"/>
  <c r="AL36" i="10"/>
  <c r="AL38" i="10" s="1"/>
  <c r="AK38" i="10"/>
  <c r="AB34" i="10"/>
  <c r="AC34" i="10" s="1"/>
  <c r="AB36" i="10"/>
  <c r="AC36" i="10" s="1"/>
  <c r="AB35" i="10"/>
  <c r="AC35" i="10" s="1"/>
  <c r="AP13" i="10" l="1"/>
  <c r="AS17" i="10"/>
  <c r="AH40" i="10" s="1"/>
  <c r="CD8" i="15"/>
  <c r="AN7" i="10"/>
  <c r="AO7" i="10" s="1"/>
  <c r="AP7" i="10" s="1"/>
  <c r="CD7" i="15"/>
  <c r="AN6" i="10"/>
  <c r="AM17" i="10"/>
  <c r="AM24" i="10" s="1"/>
  <c r="AP15" i="10"/>
  <c r="CD11" i="15"/>
  <c r="AN10" i="10"/>
  <c r="CD9" i="15"/>
  <c r="AN8" i="10"/>
  <c r="AO8" i="10" s="1"/>
  <c r="AP8" i="10" s="1"/>
  <c r="AP4" i="10"/>
  <c r="AV4" i="10"/>
  <c r="AQ38" i="10"/>
  <c r="AR33" i="10"/>
  <c r="AN40" i="10" l="1"/>
  <c r="AO10" i="10"/>
  <c r="AP10" i="10" s="1"/>
  <c r="AO6" i="10"/>
  <c r="AP6" i="10" s="1"/>
  <c r="AW4" i="10"/>
  <c r="AW17" i="10" s="1"/>
  <c r="AL40" i="10" s="1"/>
  <c r="AV17" i="10"/>
  <c r="AK40" i="10" s="1"/>
  <c r="AP17" i="10" l="1"/>
  <c r="AQ40" i="10" s="1"/>
  <c r="L51" i="23"/>
  <c r="M51" i="23" s="1"/>
  <c r="L54" i="23"/>
  <c r="M54" i="23" s="1"/>
  <c r="L59" i="23"/>
  <c r="M59" i="23" s="1"/>
  <c r="L60" i="23"/>
  <c r="M60" i="23" s="1"/>
  <c r="L61" i="23"/>
  <c r="M61" i="23" s="1"/>
  <c r="L55" i="23" l="1"/>
  <c r="M55" i="23" s="1"/>
  <c r="L57" i="23"/>
  <c r="M57" i="23" s="1"/>
  <c r="L53" i="23"/>
  <c r="M53" i="23" s="1"/>
  <c r="L58" i="23"/>
  <c r="M58" i="23" s="1"/>
  <c r="L52" i="23"/>
  <c r="M52" i="23" s="1"/>
  <c r="L64" i="23"/>
  <c r="M64" i="23" s="1"/>
  <c r="L63" i="23"/>
  <c r="M63" i="23" s="1"/>
  <c r="L56" i="23"/>
  <c r="M56" i="23" s="1"/>
  <c r="L65" i="23"/>
  <c r="M65" i="23" s="1"/>
  <c r="L62" i="23"/>
  <c r="M62" i="23" s="1"/>
  <c r="H59" i="23" l="1"/>
  <c r="H54" i="23"/>
  <c r="H60" i="23"/>
  <c r="H61" i="23"/>
  <c r="L50" i="23"/>
  <c r="M50" i="23" s="1"/>
  <c r="H51" i="23" l="1"/>
  <c r="H64" i="23" l="1"/>
  <c r="H53" i="23"/>
  <c r="H62" i="23"/>
  <c r="H57" i="23"/>
  <c r="H63" i="23"/>
  <c r="H55" i="23"/>
  <c r="H56" i="23"/>
  <c r="H52" i="23"/>
  <c r="H65" i="23"/>
  <c r="H58" i="23"/>
  <c r="H50" i="23"/>
  <c r="H67" i="23" l="1"/>
  <c r="L19" i="23"/>
  <c r="L18" i="23"/>
  <c r="L17" i="23"/>
  <c r="L16" i="23"/>
  <c r="L15" i="23"/>
  <c r="L14" i="23"/>
  <c r="L13" i="23"/>
  <c r="L12" i="23"/>
  <c r="L11" i="23"/>
  <c r="L10" i="23"/>
  <c r="L9" i="23"/>
  <c r="L8" i="23"/>
  <c r="L7" i="23"/>
  <c r="L6" i="23"/>
  <c r="L5" i="23"/>
  <c r="L4" i="23"/>
  <c r="J77" i="19" l="1"/>
  <c r="J70" i="19"/>
  <c r="J76" i="19"/>
  <c r="J78" i="19"/>
  <c r="R12" i="23"/>
  <c r="N12" i="23"/>
  <c r="R34" i="23"/>
  <c r="U12" i="23"/>
  <c r="N13" i="23"/>
  <c r="U13" i="23"/>
  <c r="R13" i="23"/>
  <c r="R35" i="23"/>
  <c r="U18" i="23"/>
  <c r="R18" i="23"/>
  <c r="N18" i="23"/>
  <c r="R40" i="23"/>
  <c r="N16" i="23"/>
  <c r="U16" i="23"/>
  <c r="R38" i="23"/>
  <c r="R16" i="23"/>
  <c r="R32" i="23"/>
  <c r="U10" i="23"/>
  <c r="R10" i="23"/>
  <c r="N10" i="23"/>
  <c r="R5" i="23"/>
  <c r="U5" i="23"/>
  <c r="R27" i="23"/>
  <c r="N5" i="23"/>
  <c r="U19" i="23"/>
  <c r="R19" i="23"/>
  <c r="R41" i="23"/>
  <c r="N19" i="23"/>
  <c r="N8" i="23"/>
  <c r="R8" i="23"/>
  <c r="U8" i="23"/>
  <c r="R30" i="23"/>
  <c r="N15" i="23"/>
  <c r="R37" i="23"/>
  <c r="U15" i="23"/>
  <c r="R15" i="23"/>
  <c r="R11" i="23"/>
  <c r="N11" i="23"/>
  <c r="U11" i="23"/>
  <c r="R33" i="23"/>
  <c r="R29" i="23"/>
  <c r="U7" i="23"/>
  <c r="R7" i="23"/>
  <c r="N7" i="23"/>
  <c r="N14" i="23"/>
  <c r="R14" i="23"/>
  <c r="R36" i="23"/>
  <c r="U14" i="23"/>
  <c r="R39" i="23"/>
  <c r="U17" i="23"/>
  <c r="R17" i="23"/>
  <c r="N17" i="23"/>
  <c r="U9" i="23"/>
  <c r="N9" i="23"/>
  <c r="R9" i="23"/>
  <c r="R31" i="23"/>
  <c r="U4" i="23"/>
  <c r="R4" i="23"/>
  <c r="N4" i="23"/>
  <c r="R26" i="23"/>
  <c r="L21" i="23"/>
  <c r="N45" i="23" s="1"/>
  <c r="R6" i="23"/>
  <c r="N6" i="23"/>
  <c r="U6" i="23"/>
  <c r="R28" i="23"/>
  <c r="M15" i="23" l="1"/>
  <c r="M8" i="23"/>
  <c r="N21" i="23"/>
  <c r="M13" i="23"/>
  <c r="M14" i="23"/>
  <c r="R21" i="23"/>
  <c r="U21" i="23"/>
  <c r="M5" i="23"/>
  <c r="M7" i="23" l="1"/>
  <c r="M12" i="23"/>
  <c r="M19" i="23"/>
  <c r="M6" i="23"/>
  <c r="M11" i="23"/>
  <c r="M16" i="23"/>
  <c r="M4" i="23"/>
  <c r="M18" i="23"/>
  <c r="M17" i="23"/>
  <c r="M10" i="23"/>
  <c r="M9" i="23"/>
  <c r="M21" i="23" l="1"/>
  <c r="H8" i="23"/>
  <c r="H13" i="23"/>
  <c r="H15" i="23"/>
  <c r="H14" i="23"/>
  <c r="E60" i="23" l="1"/>
  <c r="C60" i="23"/>
  <c r="O14" i="23"/>
  <c r="E59" i="23"/>
  <c r="C59" i="23"/>
  <c r="O13" i="23"/>
  <c r="C61" i="23"/>
  <c r="E61" i="23"/>
  <c r="O15" i="23"/>
  <c r="H6" i="23"/>
  <c r="H19" i="23"/>
  <c r="E54" i="23"/>
  <c r="O8" i="23"/>
  <c r="C54" i="23"/>
  <c r="H10" i="23"/>
  <c r="H5" i="23"/>
  <c r="H17" i="23" l="1"/>
  <c r="H16" i="23"/>
  <c r="E56" i="23"/>
  <c r="O10" i="23"/>
  <c r="C56" i="23"/>
  <c r="J8" i="23"/>
  <c r="K8" i="23" s="1"/>
  <c r="D54" i="23"/>
  <c r="J54" i="23" s="1"/>
  <c r="K54" i="23" s="1"/>
  <c r="N54" i="23" s="1"/>
  <c r="H9" i="23"/>
  <c r="H11" i="23"/>
  <c r="E51" i="23"/>
  <c r="C51" i="23"/>
  <c r="O5" i="23"/>
  <c r="H18" i="23"/>
  <c r="O19" i="23"/>
  <c r="E65" i="23"/>
  <c r="C65" i="23"/>
  <c r="J15" i="23"/>
  <c r="K15" i="23" s="1"/>
  <c r="Q15" i="23" s="1"/>
  <c r="D61" i="23"/>
  <c r="J61" i="23" s="1"/>
  <c r="K61" i="23" s="1"/>
  <c r="N61" i="23" s="1"/>
  <c r="AD15" i="23"/>
  <c r="BT20" i="15" s="1"/>
  <c r="D59" i="23"/>
  <c r="J59" i="23" s="1"/>
  <c r="K59" i="23" s="1"/>
  <c r="N59" i="23" s="1"/>
  <c r="J13" i="23"/>
  <c r="K13" i="23" s="1"/>
  <c r="H12" i="23"/>
  <c r="H4" i="23"/>
  <c r="E52" i="23"/>
  <c r="C52" i="23"/>
  <c r="O6" i="23"/>
  <c r="J14" i="23"/>
  <c r="K14" i="23" s="1"/>
  <c r="D60" i="23"/>
  <c r="J60" i="23" s="1"/>
  <c r="K60" i="23" s="1"/>
  <c r="N60" i="23" s="1"/>
  <c r="H7" i="23"/>
  <c r="J74" i="19" l="1"/>
  <c r="BU20" i="15"/>
  <c r="CE20" i="15" s="1"/>
  <c r="BW20" i="15"/>
  <c r="BX20" i="15" s="1"/>
  <c r="BY20" i="15" s="1"/>
  <c r="J6" i="23"/>
  <c r="K6" i="23" s="1"/>
  <c r="D52" i="23"/>
  <c r="J52" i="23" s="1"/>
  <c r="K52" i="23" s="1"/>
  <c r="N52" i="23" s="1"/>
  <c r="D56" i="23"/>
  <c r="J56" i="23" s="1"/>
  <c r="K56" i="23" s="1"/>
  <c r="N56" i="23" s="1"/>
  <c r="J10" i="23"/>
  <c r="K10" i="23" s="1"/>
  <c r="C55" i="23"/>
  <c r="E55" i="23"/>
  <c r="O9" i="23"/>
  <c r="O4" i="23"/>
  <c r="C50" i="23"/>
  <c r="H21" i="23"/>
  <c r="H69" i="23" s="1"/>
  <c r="E64" i="23"/>
  <c r="C64" i="23"/>
  <c r="O18" i="23"/>
  <c r="E58" i="23"/>
  <c r="C58" i="23"/>
  <c r="O12" i="23"/>
  <c r="E62" i="23"/>
  <c r="O16" i="23"/>
  <c r="C62" i="23"/>
  <c r="D51" i="23"/>
  <c r="J51" i="23" s="1"/>
  <c r="K51" i="23" s="1"/>
  <c r="N51" i="23" s="1"/>
  <c r="J5" i="23"/>
  <c r="K5" i="23" s="1"/>
  <c r="O7" i="23"/>
  <c r="E53" i="23"/>
  <c r="C53" i="23"/>
  <c r="E63" i="23"/>
  <c r="C63" i="23"/>
  <c r="O17" i="23"/>
  <c r="S37" i="23"/>
  <c r="T15" i="23"/>
  <c r="X15" i="23" s="1"/>
  <c r="Y15" i="23"/>
  <c r="Z15" i="23" s="1"/>
  <c r="AA15" i="23" s="1"/>
  <c r="S15" i="23"/>
  <c r="D65" i="23"/>
  <c r="J65" i="23" s="1"/>
  <c r="K65" i="23" s="1"/>
  <c r="N65" i="23" s="1"/>
  <c r="J19" i="23"/>
  <c r="K19" i="23" s="1"/>
  <c r="E57" i="23"/>
  <c r="C57" i="23"/>
  <c r="O11" i="23"/>
  <c r="J4" i="23" l="1"/>
  <c r="K4" i="23" s="1"/>
  <c r="BZ20" i="15"/>
  <c r="CA20" i="15" s="1"/>
  <c r="CB20" i="15" s="1"/>
  <c r="I19" i="16" s="1"/>
  <c r="Q19" i="16" s="1"/>
  <c r="E50" i="23"/>
  <c r="E67" i="23" s="1"/>
  <c r="E21" i="23"/>
  <c r="D57" i="23"/>
  <c r="J57" i="23" s="1"/>
  <c r="K57" i="23" s="1"/>
  <c r="N57" i="23" s="1"/>
  <c r="J11" i="23"/>
  <c r="K11" i="23" s="1"/>
  <c r="G18" i="23"/>
  <c r="D64" i="23"/>
  <c r="D58" i="23"/>
  <c r="G12" i="23"/>
  <c r="J12" i="23" s="1"/>
  <c r="K12" i="23" s="1"/>
  <c r="J9" i="23"/>
  <c r="K9" i="23" s="1"/>
  <c r="D55" i="23"/>
  <c r="J55" i="23" s="1"/>
  <c r="K55" i="23" s="1"/>
  <c r="N55" i="23" s="1"/>
  <c r="D53" i="23"/>
  <c r="J53" i="23" s="1"/>
  <c r="K53" i="23" s="1"/>
  <c r="N53" i="23" s="1"/>
  <c r="J7" i="23"/>
  <c r="K7" i="23" s="1"/>
  <c r="D63" i="23"/>
  <c r="J63" i="23" s="1"/>
  <c r="K63" i="23" s="1"/>
  <c r="N63" i="23" s="1"/>
  <c r="J17" i="23"/>
  <c r="K17" i="23" s="1"/>
  <c r="D62" i="23"/>
  <c r="J62" i="23" s="1"/>
  <c r="K62" i="23" s="1"/>
  <c r="N62" i="23" s="1"/>
  <c r="J16" i="23"/>
  <c r="K16" i="23" s="1"/>
  <c r="D50" i="23"/>
  <c r="D21" i="23"/>
  <c r="G64" i="23" l="1"/>
  <c r="J64" i="23" s="1"/>
  <c r="K64" i="23" s="1"/>
  <c r="N64" i="23" s="1"/>
  <c r="J73" i="19"/>
  <c r="J50" i="23"/>
  <c r="D67" i="23"/>
  <c r="D69" i="23" s="1"/>
  <c r="G21" i="23"/>
  <c r="G58" i="23"/>
  <c r="J18" i="23"/>
  <c r="K18" i="23" s="1"/>
  <c r="E69" i="23"/>
  <c r="G67" i="23" l="1"/>
  <c r="G69" i="23" s="1"/>
  <c r="J58" i="23"/>
  <c r="K58" i="23" s="1"/>
  <c r="N58" i="23" s="1"/>
  <c r="K21" i="23"/>
  <c r="K45" i="23" s="1"/>
  <c r="K50" i="23"/>
  <c r="J21" i="23"/>
  <c r="J67" i="23" l="1"/>
  <c r="J69" i="23" s="1"/>
  <c r="N50" i="23"/>
  <c r="K67" i="23"/>
  <c r="P5" i="23" l="1"/>
  <c r="AD5" i="23" l="1"/>
  <c r="Q5" i="23"/>
  <c r="T5" i="23" l="1"/>
  <c r="X5" i="23" s="1"/>
  <c r="S27" i="23"/>
  <c r="Y5" i="23"/>
  <c r="Z5" i="23" s="1"/>
  <c r="AA5" i="23" s="1"/>
  <c r="S5" i="23"/>
  <c r="BT6" i="15"/>
  <c r="BU6" i="15" l="1"/>
  <c r="CE6" i="15" s="1"/>
  <c r="BW6" i="15"/>
  <c r="BX6" i="15" s="1"/>
  <c r="BY6" i="15" s="1"/>
  <c r="BZ6" i="15" l="1"/>
  <c r="CA6" i="15" s="1"/>
  <c r="CB6" i="15" s="1"/>
  <c r="I5" i="16" s="1"/>
  <c r="Q5" i="16" s="1"/>
  <c r="P17" i="23" l="1"/>
  <c r="P12" i="23"/>
  <c r="P19" i="23"/>
  <c r="P13" i="23"/>
  <c r="P18" i="23"/>
  <c r="P16" i="23"/>
  <c r="P14" i="23"/>
  <c r="AD14" i="23" s="1"/>
  <c r="P9" i="23"/>
  <c r="P4" i="23"/>
  <c r="AD4" i="23" s="1"/>
  <c r="P6" i="23"/>
  <c r="P7" i="23"/>
  <c r="P8" i="23"/>
  <c r="P10" i="23"/>
  <c r="Q4" i="23" l="1"/>
  <c r="S26" i="23" s="1"/>
  <c r="AD8" i="23"/>
  <c r="BT17" i="15" s="1"/>
  <c r="Q8" i="23"/>
  <c r="AD17" i="23"/>
  <c r="BT14" i="15" s="1"/>
  <c r="Q17" i="23"/>
  <c r="AD16" i="23"/>
  <c r="BT13" i="15" s="1"/>
  <c r="Q16" i="23"/>
  <c r="AD7" i="23"/>
  <c r="Q7" i="23"/>
  <c r="AD6" i="23"/>
  <c r="BT7" i="15" s="1"/>
  <c r="Q6" i="23"/>
  <c r="AD13" i="23"/>
  <c r="BT18" i="15" s="1"/>
  <c r="Q13" i="23"/>
  <c r="AD9" i="23"/>
  <c r="BT9" i="15" s="1"/>
  <c r="Q9" i="23"/>
  <c r="AD18" i="23"/>
  <c r="BT15" i="15" s="1"/>
  <c r="BW15" i="15" s="1"/>
  <c r="Q18" i="23"/>
  <c r="AD19" i="23"/>
  <c r="BT16" i="15" s="1"/>
  <c r="Q19" i="23"/>
  <c r="Q12" i="23"/>
  <c r="AD12" i="23"/>
  <c r="BT12" i="15" s="1"/>
  <c r="BT19" i="15"/>
  <c r="Q14" i="23"/>
  <c r="AD10" i="23"/>
  <c r="BT10" i="15" s="1"/>
  <c r="Q10" i="23"/>
  <c r="P11" i="23"/>
  <c r="P21" i="23" s="1"/>
  <c r="J75" i="19" l="1"/>
  <c r="J79" i="19" s="1"/>
  <c r="J89" i="19" s="1"/>
  <c r="BT8" i="15"/>
  <c r="BW8" i="15" s="1"/>
  <c r="BX8" i="15" s="1"/>
  <c r="BY8" i="15" s="1"/>
  <c r="BZ8" i="15" s="1"/>
  <c r="BU7" i="15"/>
  <c r="CE7" i="15" s="1"/>
  <c r="BW7" i="15"/>
  <c r="BX7" i="15" s="1"/>
  <c r="BY7" i="15" s="1"/>
  <c r="BU10" i="15"/>
  <c r="CE10" i="15" s="1"/>
  <c r="BW10" i="15"/>
  <c r="BX10" i="15" s="1"/>
  <c r="BY10" i="15" s="1"/>
  <c r="BU12" i="15"/>
  <c r="CE12" i="15" s="1"/>
  <c r="BW12" i="15"/>
  <c r="BX12" i="15" s="1"/>
  <c r="BY12" i="15" s="1"/>
  <c r="BU13" i="15"/>
  <c r="CE13" i="15" s="1"/>
  <c r="BW13" i="15"/>
  <c r="BX13" i="15" s="1"/>
  <c r="BY13" i="15" s="1"/>
  <c r="BU9" i="15"/>
  <c r="CE9" i="15" s="1"/>
  <c r="BW9" i="15"/>
  <c r="BX9" i="15" s="1"/>
  <c r="BY9" i="15" s="1"/>
  <c r="BU19" i="15"/>
  <c r="CE19" i="15" s="1"/>
  <c r="BW19" i="15"/>
  <c r="BX19" i="15" s="1"/>
  <c r="BY19" i="15" s="1"/>
  <c r="BU14" i="15"/>
  <c r="CE14" i="15" s="1"/>
  <c r="BW14" i="15"/>
  <c r="BX14" i="15" s="1"/>
  <c r="BY14" i="15" s="1"/>
  <c r="BU18" i="15"/>
  <c r="CE18" i="15" s="1"/>
  <c r="BW18" i="15"/>
  <c r="BX18" i="15" s="1"/>
  <c r="BY18" i="15" s="1"/>
  <c r="BU16" i="15"/>
  <c r="CE16" i="15" s="1"/>
  <c r="BW16" i="15"/>
  <c r="BX16" i="15" s="1"/>
  <c r="BU15" i="15"/>
  <c r="CE15" i="15" s="1"/>
  <c r="BX15" i="15"/>
  <c r="BY15" i="15" s="1"/>
  <c r="BU17" i="15"/>
  <c r="CE17" i="15" s="1"/>
  <c r="BW17" i="15"/>
  <c r="BX17" i="15" s="1"/>
  <c r="BY17" i="15" s="1"/>
  <c r="BT5" i="15"/>
  <c r="BW5" i="15" s="1"/>
  <c r="S12" i="23"/>
  <c r="Y12" i="23"/>
  <c r="Z12" i="23" s="1"/>
  <c r="AA12" i="23" s="1"/>
  <c r="S34" i="23"/>
  <c r="T12" i="23"/>
  <c r="X12" i="23" s="1"/>
  <c r="S38" i="23"/>
  <c r="T16" i="23"/>
  <c r="X16" i="23" s="1"/>
  <c r="Y16" i="23"/>
  <c r="Z16" i="23" s="1"/>
  <c r="AA16" i="23" s="1"/>
  <c r="S16" i="23"/>
  <c r="T13" i="23"/>
  <c r="X13" i="23" s="1"/>
  <c r="S35" i="23"/>
  <c r="Y13" i="23"/>
  <c r="Z13" i="23" s="1"/>
  <c r="AA13" i="23" s="1"/>
  <c r="S13" i="23"/>
  <c r="T4" i="23"/>
  <c r="X4" i="23" s="1"/>
  <c r="Y4" i="23"/>
  <c r="S4" i="23"/>
  <c r="Y17" i="23"/>
  <c r="Z17" i="23" s="1"/>
  <c r="AA17" i="23" s="1"/>
  <c r="S39" i="23"/>
  <c r="T17" i="23"/>
  <c r="X17" i="23" s="1"/>
  <c r="S17" i="23"/>
  <c r="Y10" i="23"/>
  <c r="Z10" i="23" s="1"/>
  <c r="AA10" i="23" s="1"/>
  <c r="T10" i="23"/>
  <c r="X10" i="23" s="1"/>
  <c r="S32" i="23"/>
  <c r="S10" i="23"/>
  <c r="S41" i="23"/>
  <c r="T19" i="23"/>
  <c r="X19" i="23" s="1"/>
  <c r="Y19" i="23"/>
  <c r="Z19" i="23" s="1"/>
  <c r="AA19" i="23" s="1"/>
  <c r="S19" i="23"/>
  <c r="Y18" i="23"/>
  <c r="Z18" i="23" s="1"/>
  <c r="AA18" i="23" s="1"/>
  <c r="T18" i="23"/>
  <c r="X18" i="23" s="1"/>
  <c r="S40" i="23"/>
  <c r="S18" i="23"/>
  <c r="S14" i="23"/>
  <c r="S36" i="23"/>
  <c r="Y14" i="23"/>
  <c r="Z14" i="23" s="1"/>
  <c r="AA14" i="23" s="1"/>
  <c r="T14" i="23"/>
  <c r="X14" i="23" s="1"/>
  <c r="AD11" i="23"/>
  <c r="BT11" i="15" s="1"/>
  <c r="Q11" i="23"/>
  <c r="S30" i="23"/>
  <c r="T8" i="23"/>
  <c r="X8" i="23" s="1"/>
  <c r="Y8" i="23"/>
  <c r="Z8" i="23" s="1"/>
  <c r="AA8" i="23" s="1"/>
  <c r="S8" i="23"/>
  <c r="Y6" i="23"/>
  <c r="Z6" i="23" s="1"/>
  <c r="AA6" i="23" s="1"/>
  <c r="S28" i="23"/>
  <c r="T6" i="23"/>
  <c r="X6" i="23" s="1"/>
  <c r="S6" i="23"/>
  <c r="Y7" i="23"/>
  <c r="Z7" i="23" s="1"/>
  <c r="AA7" i="23" s="1"/>
  <c r="S29" i="23"/>
  <c r="T7" i="23"/>
  <c r="X7" i="23" s="1"/>
  <c r="S7" i="23"/>
  <c r="T9" i="23"/>
  <c r="X9" i="23" s="1"/>
  <c r="Y9" i="23"/>
  <c r="Z9" i="23" s="1"/>
  <c r="AA9" i="23" s="1"/>
  <c r="S31" i="23"/>
  <c r="S9" i="23"/>
  <c r="BU8" i="15" l="1"/>
  <c r="CE8" i="15" s="1"/>
  <c r="BX5" i="15"/>
  <c r="BZ19" i="15"/>
  <c r="CA19" i="15" s="1"/>
  <c r="CB19" i="15" s="1"/>
  <c r="I18" i="16" s="1"/>
  <c r="Q18" i="16" s="1"/>
  <c r="BZ17" i="15"/>
  <c r="BZ12" i="15"/>
  <c r="BY16" i="15"/>
  <c r="BZ16" i="15" s="1"/>
  <c r="CA16" i="15" s="1"/>
  <c r="CA8" i="15"/>
  <c r="CB8" i="15" s="1"/>
  <c r="BZ15" i="15"/>
  <c r="BZ18" i="15"/>
  <c r="CA18" i="15" s="1"/>
  <c r="CB18" i="15" s="1"/>
  <c r="I17" i="16" s="1"/>
  <c r="Q17" i="16" s="1"/>
  <c r="BZ10" i="15"/>
  <c r="CA10" i="15" s="1"/>
  <c r="CB10" i="15" s="1"/>
  <c r="I9" i="16" s="1"/>
  <c r="Q9" i="16" s="1"/>
  <c r="BZ7" i="15"/>
  <c r="CA7" i="15" s="1"/>
  <c r="CB7" i="15" s="1"/>
  <c r="I6" i="16" s="1"/>
  <c r="Q6" i="16" s="1"/>
  <c r="BZ9" i="15"/>
  <c r="CA9" i="15" s="1"/>
  <c r="CB9" i="15" s="1"/>
  <c r="I8" i="16" s="1"/>
  <c r="Q8" i="16" s="1"/>
  <c r="BZ13" i="15"/>
  <c r="CA13" i="15" s="1"/>
  <c r="CB13" i="15" s="1"/>
  <c r="I12" i="16" s="1"/>
  <c r="Q12" i="16" s="1"/>
  <c r="BZ14" i="15"/>
  <c r="CA14" i="15" s="1"/>
  <c r="CB14" i="15" s="1"/>
  <c r="I13" i="16" s="1"/>
  <c r="Q13" i="16" s="1"/>
  <c r="BU11" i="15"/>
  <c r="CE11" i="15" s="1"/>
  <c r="BW11" i="15"/>
  <c r="BX11" i="15" s="1"/>
  <c r="BY11" i="15" s="1"/>
  <c r="Z4" i="23"/>
  <c r="S33" i="23"/>
  <c r="S43" i="23" s="1"/>
  <c r="T11" i="23"/>
  <c r="X11" i="23" s="1"/>
  <c r="Y11" i="23"/>
  <c r="Z11" i="23" s="1"/>
  <c r="AA11" i="23" s="1"/>
  <c r="S11" i="23"/>
  <c r="AD21" i="23"/>
  <c r="Q21" i="23"/>
  <c r="BT21" i="15"/>
  <c r="BU5" i="15"/>
  <c r="J80" i="19" l="1"/>
  <c r="J91" i="19" s="1"/>
  <c r="BY5" i="15"/>
  <c r="I7" i="16"/>
  <c r="Q7" i="16" s="1"/>
  <c r="CA15" i="15"/>
  <c r="CB15" i="15" s="1"/>
  <c r="I14" i="16" s="1"/>
  <c r="Q14" i="16" s="1"/>
  <c r="CA12" i="15"/>
  <c r="CB12" i="15" s="1"/>
  <c r="I11" i="16" s="1"/>
  <c r="Q11" i="16" s="1"/>
  <c r="CA17" i="15"/>
  <c r="CB17" i="15" s="1"/>
  <c r="I16" i="16" s="1"/>
  <c r="Q16" i="16" s="1"/>
  <c r="CB16" i="15"/>
  <c r="I15" i="16" s="1"/>
  <c r="Q15" i="16" s="1"/>
  <c r="BZ11" i="15"/>
  <c r="CA11" i="15" s="1"/>
  <c r="CB11" i="15" s="1"/>
  <c r="I10" i="16" s="1"/>
  <c r="Q10" i="16" s="1"/>
  <c r="CE5" i="15"/>
  <c r="BU21" i="15"/>
  <c r="Z21" i="23"/>
  <c r="AA4" i="23"/>
  <c r="Y21" i="23"/>
  <c r="BZ5" i="15" l="1"/>
  <c r="CA5" i="15" s="1"/>
  <c r="CB5" i="15" s="1"/>
  <c r="BY24" i="15"/>
  <c r="I4" i="16" l="1"/>
  <c r="Q4" i="16" s="1"/>
  <c r="Q21" i="16" s="1"/>
  <c r="J44" i="19"/>
  <c r="CB21" i="15"/>
  <c r="M34" i="15" s="1"/>
  <c r="M35" i="15" s="1"/>
  <c r="M40" i="15" s="1"/>
  <c r="O49" i="15" l="1"/>
  <c r="J47" i="19"/>
  <c r="J51" i="19" s="1"/>
  <c r="J50" i="19"/>
  <c r="J49" i="19"/>
  <c r="R49" i="15"/>
  <c r="O53" i="15"/>
  <c r="I21" i="16"/>
  <c r="M23" i="16" s="1"/>
  <c r="M44" i="15"/>
  <c r="O51" i="15" s="1"/>
  <c r="O40"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tc={0E0D4C7C-0630-4D65-9FCF-407EFB0660FB}</author>
    <author>tc={1F6E9AAB-AB14-43A4-99AB-DA19FDD2AE27}</author>
    <author>tc={34C52324-5252-44BF-A60B-01E90FA88854}</author>
    <author>tc={C2EA7045-8022-4FB1-8618-07C6285005EA}</author>
    <author>tc={F7E2434A-47E2-44A0-AE52-BA42B9B44EF6}</author>
    <author>tc={635F8CCC-A45A-4F7C-90C0-662D29AED9D0}</author>
  </authors>
  <commentList>
    <comment ref="O5" authorId="0" shapeId="0" xr:uid="{0E0D4C7C-0630-4D65-9FCF-407EFB0660FB}">
      <text>
        <t>[Threaded comment]
Your version of Excel allows you to read this threaded comment; however, any edits to it will get removed if the file is opened in a newer version of Excel. Learn more: https://go.microsoft.com/fwlink/?linkid=870924
Comment:
    Place number return update</t>
      </text>
    </comment>
    <comment ref="O12" authorId="1" shapeId="0" xr:uid="{1F6E9AAB-AB14-43A4-99AB-DA19FDD2AE27}">
      <text>
        <t>[Threaded comment]
Your version of Excel allows you to read this threaded comment; however, any edits to it will get removed if the file is opened in a newer version of Excel. Learn more: https://go.microsoft.com/fwlink/?linkid=870924
Comment:
    Place number return update</t>
      </text>
    </comment>
    <comment ref="O13" authorId="2" shapeId="0" xr:uid="{34C52324-5252-44BF-A60B-01E90FA88854}">
      <text>
        <t>[Threaded comment]
Your version of Excel allows you to read this threaded comment; however, any edits to it will get removed if the file is opened in a newer version of Excel. Learn more: https://go.microsoft.com/fwlink/?linkid=870924
Comment:
    Place number return update</t>
      </text>
    </comment>
    <comment ref="CE14" authorId="3" shapeId="0" xr:uid="{C2EA7045-8022-4FB1-8618-07C6285005EA}">
      <text>
        <t>[Threaded comment]
Your version of Excel allows you to read this threaded comment; however, any edits to it will get removed if the file is opened in a newer version of Excel. Learn more: https://go.microsoft.com/fwlink/?linkid=870924
Comment:
    School Size increase</t>
      </text>
    </comment>
    <comment ref="BJ21" authorId="4" shapeId="0" xr:uid="{F7E2434A-47E2-44A0-AE52-BA42B9B44EF6}">
      <text>
        <t>[Threaded comment]
Your version of Excel allows you to read this threaded comment; however, any edits to it will get removed if the file is opened in a newer version of Excel. Learn more: https://go.microsoft.com/fwlink/?linkid=870924
Comment:
    Band changes and increase in pupil numbers</t>
      </text>
    </comment>
    <comment ref="BU21" authorId="5" shapeId="0" xr:uid="{635F8CCC-A45A-4F7C-90C0-662D29AED9D0}">
      <text>
        <t>[Threaded comment]
Your version of Excel allows you to read this threaded comment; however, any edits to it will get removed if the file is opened in a newer version of Excel. Learn more: https://go.microsoft.com/fwlink/?linkid=870924
Comment:
    Similar value to that seen in the 2025/26 analysis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tc={F48DAA8E-A622-4DE3-89A3-01138F1C5C6A}</author>
    <author>tc={AED5F158-7656-4826-92E3-B5C7D9BFF74A}</author>
    <author>tc={F0B71B65-6158-4D25-8E75-EA3A91E64D0E}</author>
    <author>tc={0C3CD6AE-B972-44C3-812D-C794C3ED7B11}</author>
    <author>tc={6C39E9F8-6284-4F07-AD04-5597ED5D9966}</author>
    <author>tc={39902B96-13D3-469D-A17C-68B78B6F391F}</author>
    <author>tc={3B5D8177-C0D3-419F-9533-17CD4B6120A3}</author>
    <author>tc={5448D6D8-65FC-4FBA-A2B5-C764B4A5DB5D}</author>
    <author>tc={471C4D04-F8E0-4B90-ACF8-1A6AF62F0773}</author>
    <author>tc={27C7068A-E814-447E-A071-DE46FEC12D4C}</author>
    <author>tc={5625CEFB-0542-450D-96BE-7DB613CF1B7A}</author>
    <author>tc={8E01A140-875C-4CD4-B0C2-9E77916A465F}</author>
    <author>tc={C704CD4A-D424-46F6-90FF-8072FB812F99}</author>
  </authors>
  <commentList>
    <comment ref="G5" authorId="0" shapeId="0" xr:uid="{F48DAA8E-A622-4DE3-89A3-01138F1C5C6A}">
      <text>
        <t xml:space="preserve">[Threaded comment]
Your version of Excel allows you to read this threaded comment; however, any edits to it will get removed if the file is opened in a newer version of Excel. Learn more: https://go.microsoft.com/fwlink/?linkid=870924
Comment:
    See Split Site Amalgamation s/sheet </t>
      </text>
    </comment>
    <comment ref="G12" authorId="1" shapeId="0" xr:uid="{AED5F158-7656-4826-92E3-B5C7D9BFF74A}">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 ref="C14" authorId="2" shapeId="0" xr:uid="{F0B71B65-6158-4D25-8E75-EA3A91E64D0E}">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G14" authorId="3" shapeId="0" xr:uid="{0C3CD6AE-B972-44C3-812D-C794C3ED7B11}">
      <text>
        <t>[Threaded comment]
Your version of Excel allows you to read this threaded comment; however, any edits to it will get removed if the file is opened in a newer version of Excel. Learn more: https://go.microsoft.com/fwlink/?linkid=870924
Comment:
    Previously £179,941</t>
      </text>
    </comment>
    <comment ref="C17" authorId="4" shapeId="0" xr:uid="{6C39E9F8-6284-4F07-AD04-5597ED5D9966}">
      <text>
        <t>[Threaded comment]
Your version of Excel allows you to read this threaded comment; however, any edits to it will get removed if the file is opened in a newer version of Excel. Learn more: https://go.microsoft.com/fwlink/?linkid=870924
Comment:
    Change</t>
      </text>
    </comment>
    <comment ref="G18" authorId="5" shapeId="0" xr:uid="{39902B96-13D3-469D-A17C-68B78B6F391F}">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 ref="C37" authorId="6" shapeId="0" xr:uid="{3B5D8177-C0D3-419F-9533-17CD4B6120A3}">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G51" authorId="7" shapeId="0" xr:uid="{5448D6D8-65FC-4FBA-A2B5-C764B4A5DB5D}">
      <text>
        <t xml:space="preserve">[Threaded comment]
Your version of Excel allows you to read this threaded comment; however, any edits to it will get removed if the file is opened in a newer version of Excel. Learn more: https://go.microsoft.com/fwlink/?linkid=870924
Comment:
    See Split Site Amalgamation s/sheet </t>
      </text>
    </comment>
    <comment ref="G58" authorId="8" shapeId="0" xr:uid="{471C4D04-F8E0-4B90-ACF8-1A6AF62F0773}">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 ref="C60" authorId="9" shapeId="0" xr:uid="{27C7068A-E814-447E-A071-DE46FEC12D4C}">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G60" authorId="10" shapeId="0" xr:uid="{5625CEFB-0542-450D-96BE-7DB613CF1B7A}">
      <text>
        <t>[Threaded comment]
Your version of Excel allows you to read this threaded comment; however, any edits to it will get removed if the file is opened in a newer version of Excel. Learn more: https://go.microsoft.com/fwlink/?linkid=870924
Comment:
    Previously £179,941</t>
      </text>
    </comment>
    <comment ref="C63" authorId="11" shapeId="0" xr:uid="{8E01A140-875C-4CD4-B0C2-9E77916A465F}">
      <text>
        <t>[Threaded comment]
Your version of Excel allows you to read this threaded comment; however, any edits to it will get removed if the file is opened in a newer version of Excel. Learn more: https://go.microsoft.com/fwlink/?linkid=870924
Comment:
    Change</t>
      </text>
    </comment>
    <comment ref="G64" authorId="12" shapeId="0" xr:uid="{C704CD4A-D424-46F6-90FF-8072FB812F99}">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tc={4B4D9AA0-143A-4B80-ADA6-C033A9986EEE}</author>
    <author>tc={2BCD51E2-E04C-41EC-8491-56A86DA0C95E}</author>
    <author>tc={D2E8FD79-B24D-4626-B645-0357FE88C579}</author>
    <author>tc={1D6A8979-0072-43D2-BD64-F45714D3E799}</author>
    <author>tc={22CCB079-14C1-4A3D-AB12-B20893BC4F4B}</author>
  </authors>
  <commentList>
    <comment ref="G5" authorId="0" shapeId="0" xr:uid="{4B4D9AA0-143A-4B80-ADA6-C033A9986EEE}">
      <text>
        <t xml:space="preserve">[Threaded comment]
Your version of Excel allows you to read this threaded comment; however, any edits to it will get removed if the file is opened in a newer version of Excel. Learn more: https://go.microsoft.com/fwlink/?linkid=870924
Comment:
    See Split Site Amalgamation s/sheet </t>
      </text>
    </comment>
    <comment ref="G11" authorId="1" shapeId="0" xr:uid="{2BCD51E2-E04C-41EC-8491-56A86DA0C95E}">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 ref="G14" authorId="2" shapeId="0" xr:uid="{D2E8FD79-B24D-4626-B645-0357FE88C579}">
      <text>
        <t>[Threaded comment]
Your version of Excel allows you to read this threaded comment; however, any edits to it will get removed if the file is opened in a newer version of Excel. Learn more: https://go.microsoft.com/fwlink/?linkid=870924
Comment:
    See Split Site Amalgamation s/sheet</t>
      </text>
    </comment>
    <comment ref="C35" authorId="3" shapeId="0" xr:uid="{1D6A8979-0072-43D2-BD64-F45714D3E799}">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G35" authorId="4" shapeId="0" xr:uid="{22CCB079-14C1-4A3D-AB12-B20893BC4F4B}">
      <text>
        <t>[Threaded comment]
Your version of Excel allows you to read this threaded comment; however, any edits to it will get removed if the file is opened in a newer version of Excel. Learn more: https://go.microsoft.com/fwlink/?linkid=870924
Comment:
    Previously £179,941</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tc={F33A83DE-1E0E-4069-AA33-B565E444368B}</author>
  </authors>
  <commentList>
    <comment ref="C21" authorId="0" shapeId="0" xr:uid="{F33A83DE-1E0E-4069-AA33-B565E444368B}">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 Popplewell</author>
  </authors>
  <commentList>
    <comment ref="I42" authorId="0" shapeId="0" xr:uid="{44A09D1C-87E5-4135-84FB-921728CF7ACE}">
      <text>
        <r>
          <rPr>
            <sz val="9"/>
            <color indexed="81"/>
            <rFont val="Tahoma"/>
            <family val="2"/>
          </rPr>
          <t>Made up of more than one staff member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 Popplewell</author>
    <author>tc={EBFCD323-5424-4B42-AFAB-B0014D89DC66}</author>
  </authors>
  <commentList>
    <comment ref="L6" authorId="0" shapeId="0" xr:uid="{C066885B-8F97-4C23-9B3E-DC32E0862483}">
      <text>
        <r>
          <rPr>
            <b/>
            <sz val="9"/>
            <color indexed="81"/>
            <rFont val="Tahoma"/>
            <family val="2"/>
          </rPr>
          <t>Mark Popplewell:</t>
        </r>
        <r>
          <rPr>
            <sz val="9"/>
            <color indexed="81"/>
            <rFont val="Tahoma"/>
            <family val="2"/>
          </rPr>
          <t xml:space="preserve">
Amalgamated school</t>
        </r>
      </text>
    </comment>
    <comment ref="G16" authorId="1" shapeId="0" xr:uid="{EBFCD323-5424-4B42-AFAB-B0014D89DC66}">
      <text>
        <t>[Threaded comment]
Your version of Excel allows you to read this threaded comment; however, any edits to it will get removed if the file is opened in a newer version of Excel. Learn more: https://go.microsoft.com/fwlink/?linkid=870924
Comment:
    Awaiting confirmation from ESFA that school will be funded for 85 not 81</t>
      </text>
    </comment>
  </commentList>
</comments>
</file>

<file path=xl/sharedStrings.xml><?xml version="1.0" encoding="utf-8"?>
<sst xmlns="http://schemas.openxmlformats.org/spreadsheetml/2006/main" count="2168" uniqueCount="962">
  <si>
    <t>Salary Scales</t>
  </si>
  <si>
    <t>TEACHING ASSISTANT - OVER 5 YEARS SERVICE 2025/26</t>
  </si>
  <si>
    <t>Box 2.</t>
  </si>
  <si>
    <t>THESE SALARY SCALES INCLUDE:</t>
  </si>
  <si>
    <t>Employer National Insurance rates as from 06/04/2025</t>
  </si>
  <si>
    <t>Employer Pension rate 24.1% as from 01/04/2025</t>
  </si>
  <si>
    <t>Standard equation codes for over 5 years service</t>
  </si>
  <si>
    <t>Box 3.</t>
  </si>
  <si>
    <t>Salary includes April 2025 pay award</t>
  </si>
  <si>
    <t>Box 4.</t>
  </si>
  <si>
    <t>NI</t>
  </si>
  <si>
    <t>Employer National Insurance</t>
  </si>
  <si>
    <t>NI RATES (W.E.F. 06/04/2025)</t>
  </si>
  <si>
    <t>Up to £4,999</t>
  </si>
  <si>
    <t>Over £5,000</t>
  </si>
  <si>
    <t>Employer Pension</t>
  </si>
  <si>
    <t>PENSION RATES (W.E.F. 01/04/2025)</t>
  </si>
  <si>
    <t>One rate</t>
  </si>
  <si>
    <t>ST</t>
  </si>
  <si>
    <t>Box 5.</t>
  </si>
  <si>
    <t>In Pension Scheme</t>
  </si>
  <si>
    <t>Not in Pension Scheme</t>
  </si>
  <si>
    <t>Grade</t>
  </si>
  <si>
    <t>S.C.P.</t>
  </si>
  <si>
    <t>Salary</t>
  </si>
  <si>
    <t>N.I.</t>
  </si>
  <si>
    <t>Pension</t>
  </si>
  <si>
    <t>Total</t>
  </si>
  <si>
    <t>TA Grade G3</t>
  </si>
  <si>
    <t>6 - 9</t>
  </si>
  <si>
    <t>TA Grade G5</t>
  </si>
  <si>
    <t>12 - 15</t>
  </si>
  <si>
    <t>TA Grade G6</t>
  </si>
  <si>
    <t>Advanced</t>
  </si>
  <si>
    <t>15 - 18</t>
  </si>
  <si>
    <t>TA Grade G7</t>
  </si>
  <si>
    <t>Management</t>
  </si>
  <si>
    <t>18 - 21</t>
  </si>
  <si>
    <t>TA Grade G8</t>
  </si>
  <si>
    <t>HLTA</t>
  </si>
  <si>
    <t>21 - 24</t>
  </si>
  <si>
    <t>LCC SCHOOLS APT&amp;C 2025/26</t>
  </si>
  <si>
    <t>LEL</t>
  </si>
  <si>
    <t>UPPER</t>
  </si>
  <si>
    <t>SUPER</t>
  </si>
  <si>
    <t xml:space="preserve">  G1</t>
  </si>
  <si>
    <t>01</t>
  </si>
  <si>
    <t>02</t>
  </si>
  <si>
    <t>G2</t>
  </si>
  <si>
    <t>03</t>
  </si>
  <si>
    <t>04</t>
  </si>
  <si>
    <t>05</t>
  </si>
  <si>
    <t>G3</t>
  </si>
  <si>
    <t>06</t>
  </si>
  <si>
    <t>07</t>
  </si>
  <si>
    <t>08</t>
  </si>
  <si>
    <t>G4</t>
  </si>
  <si>
    <t>09</t>
  </si>
  <si>
    <t>G5</t>
  </si>
  <si>
    <t>G6</t>
  </si>
  <si>
    <t>G7</t>
  </si>
  <si>
    <t>G8</t>
  </si>
  <si>
    <t>G9</t>
  </si>
  <si>
    <t>G10</t>
  </si>
  <si>
    <t>G11</t>
  </si>
  <si>
    <t>G12</t>
  </si>
  <si>
    <t>G13</t>
  </si>
  <si>
    <t>G14</t>
  </si>
  <si>
    <t>G15</t>
  </si>
  <si>
    <t>G16</t>
  </si>
  <si>
    <t>This pay spine is anchored to salary points on the NJC National Pay Spine. The relevant Lincolnshire points which link directly to the NJC National Pay Spine are SCPs 1, 2, 3, 6, 9, 12, 15, 18, 21, 24, 27, 30 &amp; 33.</t>
  </si>
  <si>
    <t>2025-26</t>
  </si>
  <si>
    <t>Sleeping-in Duty Payment =</t>
  </si>
  <si>
    <t>Standby Duty Allowance (Social Workers) =</t>
  </si>
  <si>
    <t>Box 1.</t>
  </si>
  <si>
    <t>LEADERSHIP GROUP 2025/26</t>
  </si>
  <si>
    <t xml:space="preserve">Please note these figures reflect the School Teachers' Pay and Conditions Document (STPCD) released in September 2024. The STPCD now only prescribes pay ranges with minimum and maximum points. You will be aware that schools have discretion to set their own salary scales. 
</t>
  </si>
  <si>
    <t>Salary includes Sept 2025 pay award</t>
  </si>
  <si>
    <t>Not In Pension Scheme</t>
  </si>
  <si>
    <t>I</t>
  </si>
  <si>
    <t>L1</t>
  </si>
  <si>
    <t>L2</t>
  </si>
  <si>
    <t>L3</t>
  </si>
  <si>
    <t>L4</t>
  </si>
  <si>
    <t>L5</t>
  </si>
  <si>
    <t>L6</t>
  </si>
  <si>
    <t>L7</t>
  </si>
  <si>
    <t>L8</t>
  </si>
  <si>
    <t>L9</t>
  </si>
  <si>
    <t>L10</t>
  </si>
  <si>
    <t>L11</t>
  </si>
  <si>
    <t>L12</t>
  </si>
  <si>
    <t>L13</t>
  </si>
  <si>
    <t>L14</t>
  </si>
  <si>
    <t>L15</t>
  </si>
  <si>
    <t>L16</t>
  </si>
  <si>
    <t>L17</t>
  </si>
  <si>
    <t>L18a</t>
  </si>
  <si>
    <t>L18b</t>
  </si>
  <si>
    <t>L19</t>
  </si>
  <si>
    <t>L20</t>
  </si>
  <si>
    <t>L21a</t>
  </si>
  <si>
    <t>L21b</t>
  </si>
  <si>
    <t>L22</t>
  </si>
  <si>
    <t>L23</t>
  </si>
  <si>
    <t>L24a</t>
  </si>
  <si>
    <t>L24b</t>
  </si>
  <si>
    <t>L25</t>
  </si>
  <si>
    <t>L26</t>
  </si>
  <si>
    <t>L27a</t>
  </si>
  <si>
    <t>L27b</t>
  </si>
  <si>
    <t>L28</t>
  </si>
  <si>
    <t>L29</t>
  </si>
  <si>
    <t>L30</t>
  </si>
  <si>
    <t>L31a</t>
  </si>
  <si>
    <t>L31b</t>
  </si>
  <si>
    <t>L32</t>
  </si>
  <si>
    <t>L33</t>
  </si>
  <si>
    <t>L34</t>
  </si>
  <si>
    <t>L35a</t>
  </si>
  <si>
    <t>L35b</t>
  </si>
  <si>
    <t>L36</t>
  </si>
  <si>
    <t>L37</t>
  </si>
  <si>
    <t>L38</t>
  </si>
  <si>
    <t>L39a</t>
  </si>
  <si>
    <t>L39b</t>
  </si>
  <si>
    <t>L40</t>
  </si>
  <si>
    <t>L41</t>
  </si>
  <si>
    <t>L42</t>
  </si>
  <si>
    <t>L43</t>
  </si>
  <si>
    <t>Position</t>
  </si>
  <si>
    <t>Pay Scale</t>
  </si>
  <si>
    <t>Pay-Step</t>
  </si>
  <si>
    <t>FTE</t>
  </si>
  <si>
    <t>Basic Pay</t>
  </si>
  <si>
    <t>N.I</t>
  </si>
  <si>
    <t>Sickness Insurance</t>
  </si>
  <si>
    <t>PPA Time (teacher only)</t>
  </si>
  <si>
    <t>2025/26</t>
  </si>
  <si>
    <t>QUALIFIED TEACHERS 2025/26</t>
  </si>
  <si>
    <t xml:space="preserve">Please note these figures reflect the School Teachers' Pay and Conditions Document (STPCD) released in September 2024.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</si>
  <si>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6.</t>
  </si>
  <si>
    <t>Box 7.</t>
  </si>
  <si>
    <t>Main Pay Range</t>
  </si>
  <si>
    <t>M1</t>
  </si>
  <si>
    <t>M2</t>
  </si>
  <si>
    <t>M3</t>
  </si>
  <si>
    <t>M4</t>
  </si>
  <si>
    <t>M5</t>
  </si>
  <si>
    <t>M6</t>
  </si>
  <si>
    <t>Upper Pay Range</t>
  </si>
  <si>
    <t>U1</t>
  </si>
  <si>
    <t>U2</t>
  </si>
  <si>
    <t>U3</t>
  </si>
  <si>
    <t>Unqualified 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</si>
  <si>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</si>
  <si>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</si>
  <si>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</si>
  <si>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</si>
  <si>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</si>
  <si>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</si>
  <si>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</si>
  <si>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</si>
  <si>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</si>
  <si>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</si>
  <si>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</si>
  <si>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</si>
  <si>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Teacher</t>
  </si>
  <si>
    <t>GLEA</t>
  </si>
  <si>
    <t xml:space="preserve">Teachers' </t>
  </si>
  <si>
    <t>Total Pay</t>
  </si>
  <si>
    <t>Allowance / Sundry</t>
  </si>
  <si>
    <t>Notes</t>
  </si>
  <si>
    <t xml:space="preserve">Teaching Assistant </t>
  </si>
  <si>
    <t>TA - over 5 years</t>
  </si>
  <si>
    <t>TA 1 SCP3 (top) and sickness insurance 5 days.</t>
  </si>
  <si>
    <t>Main Scale 5 plus SEN1 Allowance; 10% PPA time at Main Scale 2 (incl. SEN 1 All) and sickness insurance 5 days</t>
  </si>
  <si>
    <t>Midday Supervisor</t>
  </si>
  <si>
    <t>Head Teacher</t>
  </si>
  <si>
    <t xml:space="preserve">Assistant Head Teacher </t>
  </si>
  <si>
    <t>School Business Manager</t>
  </si>
  <si>
    <t>Administrator</t>
  </si>
  <si>
    <t>Grade 5</t>
  </si>
  <si>
    <t>SBM Level 1 - Grade 8 (top of grade)</t>
  </si>
  <si>
    <t>Grade 8</t>
  </si>
  <si>
    <t>Grade 4</t>
  </si>
  <si>
    <t>Grade 3</t>
  </si>
  <si>
    <t>Site Manager</t>
  </si>
  <si>
    <t>Grade 6</t>
  </si>
  <si>
    <t>Cleaners</t>
  </si>
  <si>
    <t>Clerk to Governor</t>
  </si>
  <si>
    <t>Cook</t>
  </si>
  <si>
    <t>Catering Assistant</t>
  </si>
  <si>
    <t>Teachers</t>
  </si>
  <si>
    <t>Leadership</t>
  </si>
  <si>
    <t>01-215 SENCO - Schools.pdf</t>
  </si>
  <si>
    <t>TLR</t>
  </si>
  <si>
    <t>Aegir</t>
  </si>
  <si>
    <t>GANF</t>
  </si>
  <si>
    <t>Tulip</t>
  </si>
  <si>
    <t>Applied as the existing formula for School Size 5</t>
  </si>
  <si>
    <t>Grade 1</t>
  </si>
  <si>
    <t>Buyback service</t>
  </si>
  <si>
    <t>9/15</t>
  </si>
  <si>
    <t>0.5/0.5</t>
  </si>
  <si>
    <t>01-102 Midday Supervisory Assistant - Schools.pdf</t>
  </si>
  <si>
    <t>Grade 2</t>
  </si>
  <si>
    <t>01-204 School Business Manager (Level 1) - Schools.pdf</t>
  </si>
  <si>
    <t>01-138 Administration Assistant - Schools.pdf</t>
  </si>
  <si>
    <t>01-141 Senior Administrator without staff - Schools.pdf</t>
  </si>
  <si>
    <t>01-101 Administrator - Schools.pdf</t>
  </si>
  <si>
    <t>01-186 Site Manager - Primary School - Schools.pdf</t>
  </si>
  <si>
    <t>01-165 Cook In Charge Special Schools - Schools.pdf</t>
  </si>
  <si>
    <t>01-140 Catering Assistant - Schools.pdf</t>
  </si>
  <si>
    <t>TA1</t>
  </si>
  <si>
    <t>TA2</t>
  </si>
  <si>
    <t>TA1/2</t>
  </si>
  <si>
    <t>6 x £395 (Governor meetings); 1 x £195 (Pay Committee) and £250 pa (renewal)</t>
  </si>
  <si>
    <t>6.25 hours per week - this cover one class (10 pupils)</t>
  </si>
  <si>
    <t>Equated Pay</t>
  </si>
  <si>
    <t>Under 5 years</t>
  </si>
  <si>
    <t>Over 5 years</t>
  </si>
  <si>
    <t>21a</t>
  </si>
  <si>
    <t>33.44sqm per hour at c,3,500sq m</t>
  </si>
  <si>
    <t>SEN1 / Allowances (Teacher only)</t>
  </si>
  <si>
    <t>Family Safeguarding and Attendance Officer, CAFO - falls within the Pupil Premiunm criteria</t>
  </si>
  <si>
    <t>Simplification of the Special Schools Formula</t>
  </si>
  <si>
    <t>Purpose</t>
  </si>
  <si>
    <t>This initial phase is using the funding levels of the existing special schools formula (excluding the 3.4% and other CSBG)</t>
  </si>
  <si>
    <r>
      <rPr>
        <b/>
        <sz val="10"/>
        <color theme="1"/>
        <rFont val="Arial"/>
        <family val="2"/>
      </rPr>
      <t>Gloucestershire</t>
    </r>
    <r>
      <rPr>
        <sz val="10"/>
        <color theme="1"/>
        <rFont val="Arial"/>
        <family val="2"/>
      </rPr>
      <t xml:space="preserve"> special school rates</t>
    </r>
  </si>
  <si>
    <t>It is therefore testing concept in whether the simplification will align to existing funding levels, i.e. no significant gains and losses.</t>
  </si>
  <si>
    <t>Funding Simplification Formula Construct</t>
  </si>
  <si>
    <t>Option 1</t>
  </si>
  <si>
    <t>Place Funding</t>
  </si>
  <si>
    <t>Core School Classroom Delivery</t>
  </si>
  <si>
    <t>School Staffing Infrastructure including Leadership</t>
  </si>
  <si>
    <t>Premise and utilities and general school resources</t>
  </si>
  <si>
    <t>Established as per DfE £10,000 level.</t>
  </si>
  <si>
    <r>
      <rPr>
        <b/>
        <sz val="10"/>
        <color theme="1"/>
        <rFont val="Arial"/>
        <family val="2"/>
      </rPr>
      <t>Leicestershire</t>
    </r>
    <r>
      <rPr>
        <sz val="10"/>
        <color theme="1"/>
        <rFont val="Arial"/>
        <family val="2"/>
      </rPr>
      <t xml:space="preserve"> - Foxfields and Bowman (and Fusion, our other Special Free School  - Fusion is C&amp;I)</t>
    </r>
  </si>
  <si>
    <t>Place costs of £28,342 p.a. plus a fixed allowance of £114,000.</t>
  </si>
  <si>
    <t>Top up Funding</t>
  </si>
  <si>
    <t>Bands A-B</t>
  </si>
  <si>
    <t xml:space="preserve">Local issue of exceptional funding. </t>
  </si>
  <si>
    <t>All-Need Band</t>
  </si>
  <si>
    <t>Enhanced Band</t>
  </si>
  <si>
    <t>Area special schools received the following top up rates:</t>
  </si>
  <si>
    <t>Enhanced Band - Medical</t>
  </si>
  <si>
    <t>Extra £2,000 for medical equipment</t>
  </si>
  <si>
    <t>Nottinghamshire</t>
  </si>
  <si>
    <t>Nottinghamshire currently has 11 Special Schools/ Academies</t>
  </si>
  <si>
    <t>Place funding is allocated for all pupils on roll on a moderation date in the previous January. The same moderation date scrutinises and agrees the HN banding that per pupil top up funding should be allocated at for the financial year.</t>
  </si>
  <si>
    <t>For 2025/26 the top up rates are:</t>
  </si>
  <si>
    <t>These top up rates were increased by 0.83% (for the 10 schools) for 2025/26.</t>
  </si>
  <si>
    <t>Schools also receive the historic teachers pay and pension element and the 3.4% lump sum on top of these amounts.</t>
  </si>
  <si>
    <t>Hampshire CC - see filled document presentation</t>
  </si>
  <si>
    <t>Band Descriptors</t>
  </si>
  <si>
    <t>Band</t>
  </si>
  <si>
    <t>Staffing Ratio</t>
  </si>
  <si>
    <t>5 to 1 Ratio</t>
  </si>
  <si>
    <t>2 to 1 Ratio</t>
  </si>
  <si>
    <t>Band G</t>
  </si>
  <si>
    <t>1 to 1 Ratio</t>
  </si>
  <si>
    <t>All Need</t>
  </si>
  <si>
    <t>The top up rate removes the original TA and MDS in the classroom, due to the 1-2-1 enhancement, leaving the core teacher and core running costs of the school.</t>
  </si>
  <si>
    <t>Class of 10: TA1</t>
  </si>
  <si>
    <t>Band A&amp;B</t>
  </si>
  <si>
    <t>Class of 10: TA1/2</t>
  </si>
  <si>
    <t>TA Rate</t>
  </si>
  <si>
    <t>Teacher Rate</t>
  </si>
  <si>
    <t>MDS Rate</t>
  </si>
  <si>
    <t>CSBG</t>
  </si>
  <si>
    <t>Historic Teachers costs</t>
  </si>
  <si>
    <t>Band Value</t>
  </si>
  <si>
    <t>Deducting the 3.4%</t>
  </si>
  <si>
    <t>3.4% deduction</t>
  </si>
  <si>
    <t>Special Schools Band Descriptors</t>
  </si>
  <si>
    <t>Note: this will be the amount above the £10,000 (core Delivery)</t>
  </si>
  <si>
    <t>The other bands will also need to start with the Core Delivery Top up.</t>
  </si>
  <si>
    <t>DfE Number</t>
  </si>
  <si>
    <t>School</t>
  </si>
  <si>
    <t>% Band A</t>
  </si>
  <si>
    <t>% Band B</t>
  </si>
  <si>
    <t>% Band C</t>
  </si>
  <si>
    <t>% Band D</t>
  </si>
  <si>
    <t>% Band E</t>
  </si>
  <si>
    <t>% Band F</t>
  </si>
  <si>
    <t>% Band G</t>
  </si>
  <si>
    <t>Pre-16 Places</t>
  </si>
  <si>
    <t>Core Delivery</t>
  </si>
  <si>
    <t>Core Delivery Top up</t>
  </si>
  <si>
    <t>All-Need</t>
  </si>
  <si>
    <t>All-Need Top up</t>
  </si>
  <si>
    <t>Enhanced</t>
  </si>
  <si>
    <t>Enhanced Top up</t>
  </si>
  <si>
    <t>Boston Endeavour</t>
  </si>
  <si>
    <t>Louth St Bernard's</t>
  </si>
  <si>
    <t>Spilsby The Eresby</t>
  </si>
  <si>
    <t>Lincoln Fortuna</t>
  </si>
  <si>
    <t xml:space="preserve">Gainsborough Warren Wood </t>
  </si>
  <si>
    <t>Gosberton House</t>
  </si>
  <si>
    <t>Gainsborough Aegir</t>
  </si>
  <si>
    <t>The Tulip Academy</t>
  </si>
  <si>
    <t>Greenfields Academy</t>
  </si>
  <si>
    <t>Lincoln Athena School</t>
  </si>
  <si>
    <t>Spilsby The Woodlands</t>
  </si>
  <si>
    <t>Bourne Willoughby</t>
  </si>
  <si>
    <t>Horncastle St Lawrence</t>
  </si>
  <si>
    <t>Lincoln St Christopher's</t>
  </si>
  <si>
    <t xml:space="preserve">Lincoln St Francis </t>
  </si>
  <si>
    <t>Special Schools Funding - Lincolnshire Model 2025/26 - Pre &amp; Post 16 Children</t>
  </si>
  <si>
    <t>*Excl' SplitSite &amp; PFI</t>
  </si>
  <si>
    <t>School Size</t>
  </si>
  <si>
    <t>Staffing Block</t>
  </si>
  <si>
    <t>Non-Staffing Block</t>
  </si>
  <si>
    <t>PFI Block</t>
  </si>
  <si>
    <t>Split-Site Factor</t>
  </si>
  <si>
    <t>Pre-16 &amp; Post-16 Banded Funding</t>
  </si>
  <si>
    <t>Free School Meal Funding</t>
  </si>
  <si>
    <t>Total Funding</t>
  </si>
  <si>
    <t>Total Funding (less PFI) - Removed from Place/Top up</t>
  </si>
  <si>
    <t>2025/26 Places</t>
  </si>
  <si>
    <t>2025/26 Places (less Band G)</t>
  </si>
  <si>
    <t>Ave. Band Value (Excl. Band G)</t>
  </si>
  <si>
    <t>Local Protection Funding</t>
  </si>
  <si>
    <t>*Total Funding (with MFG)</t>
  </si>
  <si>
    <t>Minimum £10,000pp Funding</t>
  </si>
  <si>
    <t>DfE Place Funding Adjustment</t>
  </si>
  <si>
    <t>Total Funding Place</t>
  </si>
  <si>
    <t>Place-led Funding</t>
  </si>
  <si>
    <t>Total Top up Funding</t>
  </si>
  <si>
    <t>Final Budgets</t>
  </si>
  <si>
    <t>Diff.</t>
  </si>
  <si>
    <t>Boston Endeavour School</t>
  </si>
  <si>
    <t>School Size 6</t>
  </si>
  <si>
    <t>Fixed cost increase is the reason for the change</t>
  </si>
  <si>
    <t>School Size 7 Transition Point</t>
  </si>
  <si>
    <t>St Bernard's School</t>
  </si>
  <si>
    <t>School Size 5</t>
  </si>
  <si>
    <t>Eresby Special School</t>
  </si>
  <si>
    <t>School Size 4 Transition Point</t>
  </si>
  <si>
    <t>Warren Wood Specialist Academy</t>
  </si>
  <si>
    <t>Gosberton House School</t>
  </si>
  <si>
    <t>Aegir Specialist Academy</t>
  </si>
  <si>
    <t>School Size 5 Transition Point</t>
  </si>
  <si>
    <t>Fixed cost increase is the reason for the change and high proportion in Band A</t>
  </si>
  <si>
    <t>School Size 7</t>
  </si>
  <si>
    <t>St Lawrence School</t>
  </si>
  <si>
    <t>School Size 9</t>
  </si>
  <si>
    <t>Highest number of Band Fs</t>
  </si>
  <si>
    <t>School Size 8</t>
  </si>
  <si>
    <t>Options to addess significant variances</t>
  </si>
  <si>
    <t xml:space="preserve">Remove aspects of funding that are specifically all-needs bands, such as for interventions (i.e. intervention officers) and assign the cost to the all-needs bands. </t>
  </si>
  <si>
    <t>Only include site factor arrangements for those schools that have them.</t>
  </si>
  <si>
    <t>Consider a small school factor, i.e. a lump sum, such as below 140 pupils.</t>
  </si>
  <si>
    <t>Consider a fixed cost, which will better protect smaller schools and avoid bigger schools gaining so much.</t>
  </si>
  <si>
    <t>Consider a split site factor</t>
  </si>
  <si>
    <t>Fortuna School</t>
  </si>
  <si>
    <t>Athena School</t>
  </si>
  <si>
    <t>Woodlands Academy</t>
  </si>
  <si>
    <t>Highest Band G - 1-2-1s.</t>
  </si>
  <si>
    <t>Class of 10: TA2 - 1 teacher and 1 TA</t>
  </si>
  <si>
    <t>Split-site funding</t>
  </si>
  <si>
    <t>Average</t>
  </si>
  <si>
    <t>Median</t>
  </si>
  <si>
    <t>xx</t>
  </si>
  <si>
    <t>Ave. Place cost (current)</t>
  </si>
  <si>
    <t>Option 2</t>
  </si>
  <si>
    <t>Removing Medical Equipment supplement</t>
  </si>
  <si>
    <t>Option B</t>
  </si>
  <si>
    <t>% Change in Budget</t>
  </si>
  <si>
    <t>Option 3</t>
  </si>
  <si>
    <t>Assumed 150 places (minimum)</t>
  </si>
  <si>
    <t>Split Site Arrangements</t>
  </si>
  <si>
    <t>Align to the mainstream schools National Funding Formula for funding:</t>
  </si>
  <si>
    <t>Eligibility</t>
  </si>
  <si>
    <t>Distance &gt; 100 metres with scaling up to 500 metres</t>
  </si>
  <si>
    <t>New Modelling Place Diff.</t>
  </si>
  <si>
    <t>New Modelling Funding Diff.</t>
  </si>
  <si>
    <t>Split-site school</t>
  </si>
  <si>
    <t>No</t>
  </si>
  <si>
    <t>Yes</t>
  </si>
  <si>
    <t>Split-site school Funding</t>
  </si>
  <si>
    <t>Split-Site Funding</t>
  </si>
  <si>
    <t>Smaller than the average special school (150 places) - sliding scale</t>
  </si>
  <si>
    <t>Smaller than average School &lt;150</t>
  </si>
  <si>
    <t>Smaller School Funding</t>
  </si>
  <si>
    <t>High Level of Band A &amp; Bs</t>
  </si>
  <si>
    <t>2025/26 CSBG full-year equivalent (£3,048) - TPAG, 2024 TPECGand 2024 to 2025 CSBG (£2,054), and help with the increase in employers’ NICs from April 2025 (£496), support staff pay increase from April 2025 and the teachers’ pay award from September 2025 (7-month amount (£339) annualised to 12-months for incorporation within DSG by applying a 47% uplift or £498). Overall, £3,048.</t>
  </si>
  <si>
    <t>Option 2 plus Split-site and Smaller School scaling funding</t>
  </si>
  <si>
    <t>Without FSM factor - separate to the formula</t>
  </si>
  <si>
    <t>Application of a 0.15FTE extra within the All-complex needs band - 5 hours a week. (£1.8m - no losses)</t>
  </si>
  <si>
    <t>FC</t>
  </si>
  <si>
    <t>Core</t>
  </si>
  <si>
    <t>Without 3.4% deduction</t>
  </si>
  <si>
    <t>Removal of TA &amp; MDS</t>
  </si>
  <si>
    <t>Removal of 25% teacher time</t>
  </si>
  <si>
    <t>3.4% Allocation 2025/26</t>
  </si>
  <si>
    <t>Special Schools</t>
  </si>
  <si>
    <t>2024/25 AY Place Numbers</t>
  </si>
  <si>
    <t>2025/26 AY Place Numbers</t>
  </si>
  <si>
    <t>2025/26 Financial Year Funding</t>
  </si>
  <si>
    <t>Post-16</t>
  </si>
  <si>
    <t>Places</t>
  </si>
  <si>
    <t>Place Value</t>
  </si>
  <si>
    <t>Funding</t>
  </si>
  <si>
    <t>Increase compared to 2024/25 due to place number increase 2,310 to 2,424</t>
  </si>
  <si>
    <t>Non-staffing costs (2023/24 values)</t>
  </si>
  <si>
    <t>Removal of 3.4%</t>
  </si>
  <si>
    <t>September 2024 CPI inflation</t>
  </si>
  <si>
    <t>September 2025 CPI inflation</t>
  </si>
  <si>
    <t>Tolerance</t>
  </si>
  <si>
    <t>Tolerance 5% (Band Bs)</t>
  </si>
  <si>
    <t xml:space="preserve">SEMH Band </t>
  </si>
  <si>
    <t>Class of 8</t>
  </si>
  <si>
    <t xml:space="preserve">All-Need SEMH Band </t>
  </si>
  <si>
    <t>SEMH</t>
  </si>
  <si>
    <t>Premises costs</t>
  </si>
  <si>
    <t>Occupation Costs</t>
  </si>
  <si>
    <t>Supplies &amp; Services Costs</t>
  </si>
  <si>
    <t>Educational Supplies Costs</t>
  </si>
  <si>
    <t>Professional services costs</t>
  </si>
  <si>
    <t>Analyses</t>
  </si>
  <si>
    <t>LA</t>
  </si>
  <si>
    <t>LA Name</t>
  </si>
  <si>
    <t>School Name</t>
  </si>
  <si>
    <t>Trust or Company Name</t>
  </si>
  <si>
    <t>Number of pupils (FTE)</t>
  </si>
  <si>
    <t>Number of teachers in academy (FTE)</t>
  </si>
  <si>
    <t>Overall Phase</t>
  </si>
  <si>
    <t>% of pupils eligible for FSM</t>
  </si>
  <si>
    <t>% of pupils with EHCP</t>
  </si>
  <si>
    <t>% of pupil with SEN support</t>
  </si>
  <si>
    <t>No of pupils in 6th form</t>
  </si>
  <si>
    <t>Total Income</t>
  </si>
  <si>
    <t>Total Expenditure</t>
  </si>
  <si>
    <t>In-year Balance</t>
  </si>
  <si>
    <t>Revenue Reserve</t>
  </si>
  <si>
    <t>Teaching staff</t>
  </si>
  <si>
    <t>Supply teaching</t>
  </si>
  <si>
    <t>Education support staff</t>
  </si>
  <si>
    <t>Administrative staff</t>
  </si>
  <si>
    <t>Other staff</t>
  </si>
  <si>
    <t>Employee expenses</t>
  </si>
  <si>
    <t>Staff development/training</t>
  </si>
  <si>
    <t>Staff insurance</t>
  </si>
  <si>
    <t>Supply insurance</t>
  </si>
  <si>
    <t>Agency</t>
  </si>
  <si>
    <t>Total Staff Costs</t>
  </si>
  <si>
    <t>Total Non-Staff Costs</t>
  </si>
  <si>
    <t>Maintenance &amp; Improvement Costs</t>
  </si>
  <si>
    <t>Maintenance &amp; Improvement</t>
  </si>
  <si>
    <t>Cleaning &amp; Caretaking</t>
  </si>
  <si>
    <t>Premises Staff</t>
  </si>
  <si>
    <t>Bought in Prof. Serv. PFI</t>
  </si>
  <si>
    <t>Premises Costs</t>
  </si>
  <si>
    <t>Catering Costs</t>
  </si>
  <si>
    <t>Catering Staffing</t>
  </si>
  <si>
    <t>Catering Supply</t>
  </si>
  <si>
    <t>Water/Sewage</t>
  </si>
  <si>
    <t>Rent/Rates</t>
  </si>
  <si>
    <t>Energy</t>
  </si>
  <si>
    <t>Other insurance premiums</t>
  </si>
  <si>
    <t>Other Occupation Costs</t>
  </si>
  <si>
    <t>Learning Resources (non IT)</t>
  </si>
  <si>
    <t>Learning Resources (IT)</t>
  </si>
  <si>
    <t>Exam Fees</t>
  </si>
  <si>
    <t>Admin Supplies</t>
  </si>
  <si>
    <t>Learning resources (non ICT)</t>
  </si>
  <si>
    <t>Learning resources (ICT)</t>
  </si>
  <si>
    <t>Exam fee</t>
  </si>
  <si>
    <t>Bought in professional services - educational</t>
  </si>
  <si>
    <t>Bought in professional services - other</t>
  </si>
  <si>
    <t>Total expenditure per pupil</t>
  </si>
  <si>
    <t>Staffing cost per pupil</t>
  </si>
  <si>
    <t>Teaching cost per teacher</t>
  </si>
  <si>
    <t>Pupils per teacher</t>
  </si>
  <si>
    <t>Total non staffing cost per pupil</t>
  </si>
  <si>
    <t>Premises costs per pupil</t>
  </si>
  <si>
    <t>Maintenance per pupil</t>
  </si>
  <si>
    <t>Catering supplies per pupil</t>
  </si>
  <si>
    <t>Water/sewage per pupil</t>
  </si>
  <si>
    <t>Rent/rates per pupil</t>
  </si>
  <si>
    <t>Energy per pupil</t>
  </si>
  <si>
    <t>Learning resources (non IT) per pupil</t>
  </si>
  <si>
    <t>Learning resources (IT) per pupil</t>
  </si>
  <si>
    <t>Admin supplies per pupil</t>
  </si>
  <si>
    <t>Supplies &amp; Services per pupil</t>
  </si>
  <si>
    <t>Educational supplies per pupil</t>
  </si>
  <si>
    <t>Professional services per pupil</t>
  </si>
  <si>
    <t>Lincolnshire</t>
  </si>
  <si>
    <t>Acorn Free School</t>
  </si>
  <si>
    <t>THE ACORN EBS FREE SCHOOL LTD.</t>
  </si>
  <si>
    <t>Alternative provision</t>
  </si>
  <si>
    <t>Springwell Alternative Academy Spalding</t>
  </si>
  <si>
    <t>WELLSPRING ACADEMY TRUST</t>
  </si>
  <si>
    <t>Springwell Alternative Academy Lincoln</t>
  </si>
  <si>
    <t>Springwell Alternative Academy Mablethorpe</t>
  </si>
  <si>
    <t>Springwell Alternative Academy Grantham</t>
  </si>
  <si>
    <t>Skegness Junior Academy</t>
  </si>
  <si>
    <t>GREENWOOD ACADEMIES TRUST</t>
  </si>
  <si>
    <t>Primary</t>
  </si>
  <si>
    <t>Bassingham Primary School</t>
  </si>
  <si>
    <t>ASPIRE SCHOOLS TRUST</t>
  </si>
  <si>
    <t>Ingoldmells Academy</t>
  </si>
  <si>
    <t>Mablethorpe Primary Academy</t>
  </si>
  <si>
    <t>Lincoln Carlton Academy</t>
  </si>
  <si>
    <t>ANTHEM SCHOOLS TRUST</t>
  </si>
  <si>
    <t>Fishtoft Academy</t>
  </si>
  <si>
    <t>VOYAGE EDUCATION PARTNERSHIP</t>
  </si>
  <si>
    <t>Mercer's Wood Academy</t>
  </si>
  <si>
    <t>TALL OAKS ACADEMY TRUST LTD</t>
  </si>
  <si>
    <t>Bracebridge Heath St John's Primary Academy</t>
  </si>
  <si>
    <t>ST. JOHN'S PRIMARY ACADEMY BRACEBRIDGE HEATH LTD</t>
  </si>
  <si>
    <t>THE PRIORY FEDERATION OF ACADEMIES</t>
  </si>
  <si>
    <t>Boston Pioneers Free School Academy</t>
  </si>
  <si>
    <t>Caythorpe Primary School</t>
  </si>
  <si>
    <t>COMMUNITY INCLUSIVE TRUST</t>
  </si>
  <si>
    <t>Beacon Primary Academy</t>
  </si>
  <si>
    <t>The Wainfleet Magdalen Church of England/Methodist School</t>
  </si>
  <si>
    <t>LINCOLN ANGLICAN ACADEMY TRUST</t>
  </si>
  <si>
    <t>Bourne Elsea Park Church of England Primary Academy</t>
  </si>
  <si>
    <t>ABBEY ACADEMIES TRUST</t>
  </si>
  <si>
    <t>Castle Wood Academy</t>
  </si>
  <si>
    <t>Huntingtower Community Primary Academy</t>
  </si>
  <si>
    <t>Wygate Park Academy</t>
  </si>
  <si>
    <t>Weston St Mary Church of England Primary School</t>
  </si>
  <si>
    <t>The Isaac Newton Primary School</t>
  </si>
  <si>
    <t>Ingoldsby Academy</t>
  </si>
  <si>
    <t>THE DAVID ROSS EDUCATION TRUST</t>
  </si>
  <si>
    <t>Manor Farm Academy</t>
  </si>
  <si>
    <t>L.E.A.D. ACADEMY TRUST</t>
  </si>
  <si>
    <t>Theddlethorpe Academy</t>
  </si>
  <si>
    <t>LINCOLNSHIRE GATEWAY ACADEMIES TRUST</t>
  </si>
  <si>
    <t>South Witham Academy</t>
  </si>
  <si>
    <t>BROOKE HILL ACADEMY TRUST LIMITED</t>
  </si>
  <si>
    <t>Gosberton Academy</t>
  </si>
  <si>
    <t>Chapel St Leonards Primary School</t>
  </si>
  <si>
    <t>Holbeach Bank Primary Academy</t>
  </si>
  <si>
    <t>UNIVERSITY OF LINCOLN ACADEMY TRUST</t>
  </si>
  <si>
    <t>n/a</t>
  </si>
  <si>
    <t>Poplar Farm School</t>
  </si>
  <si>
    <t>Colsterworth Church of England Primary School</t>
  </si>
  <si>
    <t>Fosse Way Academy</t>
  </si>
  <si>
    <t>FOSSE WAY ACADEMY LTD</t>
  </si>
  <si>
    <t>Hartsholme Academy</t>
  </si>
  <si>
    <t>HARBOUR LEARNING TRUST</t>
  </si>
  <si>
    <t>Waddington Redwood Primary Academy</t>
  </si>
  <si>
    <t>St Giles Academy</t>
  </si>
  <si>
    <t>Ling Moor Primary Academy</t>
  </si>
  <si>
    <t>The Bluecoat School</t>
  </si>
  <si>
    <t>MERIDIAN TRUST</t>
  </si>
  <si>
    <t>Thurlby Community Primary Academy</t>
  </si>
  <si>
    <t>KEYSTONE ACADEMY TRUST</t>
  </si>
  <si>
    <t>Bourne Westfield Primary Academy</t>
  </si>
  <si>
    <t>St Nicholas CE Primary Academy</t>
  </si>
  <si>
    <t>INFINITY ACADEMIES TRUST</t>
  </si>
  <si>
    <t>Branston Junior Academy</t>
  </si>
  <si>
    <t>BRANSTON JUNIOR ACADEMY</t>
  </si>
  <si>
    <t>Heighington Millfield Primary Academy</t>
  </si>
  <si>
    <t>Spalding Parish Church of England Day School</t>
  </si>
  <si>
    <t>Ermine Primary Academy</t>
  </si>
  <si>
    <t>Linchfield Academy</t>
  </si>
  <si>
    <t>St Paul's Community Primary and Nursery School, Spalding</t>
  </si>
  <si>
    <t>Surfleet Primary School</t>
  </si>
  <si>
    <t>Gedney Church End Primary Academy</t>
  </si>
  <si>
    <t>Holbeach Primary Academy</t>
  </si>
  <si>
    <t>Long Sutton County Primary School</t>
  </si>
  <si>
    <t>West Grantham Church of England Primary Academy</t>
  </si>
  <si>
    <t>DIOCESE OF SOUTHWELL AND NOTTINGHAM MULTI-ACADEMY TRUST</t>
  </si>
  <si>
    <t>The Richmond Primary Academy</t>
  </si>
  <si>
    <t>Lutton St Nicholas Primary Academy</t>
  </si>
  <si>
    <t>Monkshouse Primary Academy</t>
  </si>
  <si>
    <t>Boston West Academy</t>
  </si>
  <si>
    <t>Bracebridge Infant and Nursery School</t>
  </si>
  <si>
    <t>BRACEBRIDGE INFANT AND NURSERY SCHOOL LTD</t>
  </si>
  <si>
    <t>The Lincoln Manor Leas Junior School</t>
  </si>
  <si>
    <t>MANOR LEAS JUNIOR ACADEMY</t>
  </si>
  <si>
    <t>The Lincoln Manor Leas Infants School</t>
  </si>
  <si>
    <t>MANOR LEAS INFANT SCHOOL</t>
  </si>
  <si>
    <t>Frithville Primary School</t>
  </si>
  <si>
    <t>HORNCASTLE EDUCATION TRUST</t>
  </si>
  <si>
    <t>Gipsey Bridge Academy</t>
  </si>
  <si>
    <t>Hogsthorpe Primary Academy</t>
  </si>
  <si>
    <t>Keelby Primary Academy</t>
  </si>
  <si>
    <t>THE ENQUIRE LEARNING TRUST</t>
  </si>
  <si>
    <t>Eastfield Infants and Nursery Academy</t>
  </si>
  <si>
    <t>Louth Kidgate Primary Academy</t>
  </si>
  <si>
    <t>KIDGATE PRIMARY ACADEMY</t>
  </si>
  <si>
    <t>The Marton Academy</t>
  </si>
  <si>
    <t>THE FORGE TRUST</t>
  </si>
  <si>
    <t>New York Primary School</t>
  </si>
  <si>
    <t>North Thoresby Primary Academy</t>
  </si>
  <si>
    <t>LIFT SCHOOLS</t>
  </si>
  <si>
    <t>Skegness Infant Academy</t>
  </si>
  <si>
    <t>Seathorne Primary Academy</t>
  </si>
  <si>
    <t>Spilsby Primary School</t>
  </si>
  <si>
    <t>The Utterby Primary Academy</t>
  </si>
  <si>
    <t>White's Wood Academy</t>
  </si>
  <si>
    <t>The Gainsborough Hillcrest Early Years Academy</t>
  </si>
  <si>
    <t>HILLCREST EARLY YEARS ACADEMY LIMITED</t>
  </si>
  <si>
    <t>Carlton Road Academy</t>
  </si>
  <si>
    <t>Park Academy</t>
  </si>
  <si>
    <t>Staniland Academy</t>
  </si>
  <si>
    <t>Waddington All Saints Academy</t>
  </si>
  <si>
    <t>Cherry Willingham Primary Academy</t>
  </si>
  <si>
    <t>Horncastle Primary School</t>
  </si>
  <si>
    <t>Benjamin Adlard Primary School</t>
  </si>
  <si>
    <t>Branston Church of England Infant Academy</t>
  </si>
  <si>
    <t>The Edenham Church of England School</t>
  </si>
  <si>
    <t>The Kirkby-la-Thorpe Church of England Primary School</t>
  </si>
  <si>
    <t>KIRKBY LA THORPE CHURCH OF ENGLAND PRIMARY ACADEMY</t>
  </si>
  <si>
    <t>Long Bennington Church of England Academy</t>
  </si>
  <si>
    <t>The Morton Church of England (Controlled) Primary School</t>
  </si>
  <si>
    <t>Stamford St Gilberts Church of England Primary School</t>
  </si>
  <si>
    <t>ST GILBERT'S CHURCH OF ENGLAND PRIMARY SCHOOL</t>
  </si>
  <si>
    <t>St Thomas CofE Primary Academy</t>
  </si>
  <si>
    <t>The Pinchbeck East Church of England Primary Academy</t>
  </si>
  <si>
    <t>Whaplode Church of England Primary School</t>
  </si>
  <si>
    <t>Coningsby St Michael's Church of England Primary School</t>
  </si>
  <si>
    <t>Tattershall Holy Trinity Church of England Primary School</t>
  </si>
  <si>
    <t>Welton St Mary's Church of England Primary Academy</t>
  </si>
  <si>
    <t>WELTON ST MARY'S CHURCH OF ENGLAND PRIMARY ACADEMY</t>
  </si>
  <si>
    <t>Ellison Boulters Church of England Primary School</t>
  </si>
  <si>
    <t>ELLISON BOULTERS CHURCH OF ENGLAND ACADEMY LTD</t>
  </si>
  <si>
    <t>St Wulfram's National Church of England Primary School</t>
  </si>
  <si>
    <t>The Harrowby Church of England Primary School</t>
  </si>
  <si>
    <t>The Little Gonerby Church of England Primary Academy, Grantham</t>
  </si>
  <si>
    <t>Brown's Church of England Primary School</t>
  </si>
  <si>
    <t>Leadenham Church of England Academy</t>
  </si>
  <si>
    <t>Saint Mary's Catholic Voluntary Academy</t>
  </si>
  <si>
    <t>OUR LADY OF LOURDES CATHOLIC MULTI-ACADEMY TRUST</t>
  </si>
  <si>
    <t>Our Lady of Good Counsel Catholic Primary School, A Voluntary Academy</t>
  </si>
  <si>
    <t>St Augustine's Catholic Voluntary Academy</t>
  </si>
  <si>
    <t>Saint Mary's RC Primary Academy</t>
  </si>
  <si>
    <t>St Norbert's Catholic Voluntary Academy</t>
  </si>
  <si>
    <t>St Hugh's Catholic Primary, A Voluntary Academy</t>
  </si>
  <si>
    <t>Our Lady of Lincoln Catholic Primary School A Voluntary Academy</t>
  </si>
  <si>
    <t>Friskney All Saints Church of England Primary School</t>
  </si>
  <si>
    <t>The Gainsborough Parish Church Primary School</t>
  </si>
  <si>
    <t>THE GAINSBOROUGH PARISH CHURCH CE PRIMARY SCHOOL LTD</t>
  </si>
  <si>
    <t>Witham St Hughs Academy</t>
  </si>
  <si>
    <t>Bourne Abbey Church of England Primary Academy</t>
  </si>
  <si>
    <t>Bourne Academy</t>
  </si>
  <si>
    <t>SOUTH LINCOLNSHIRE ACADEMIES TRUST</t>
  </si>
  <si>
    <t>Secondary</t>
  </si>
  <si>
    <t>University Academy Holbeach</t>
  </si>
  <si>
    <t>King Edward VI Academy</t>
  </si>
  <si>
    <t>Kesteven and Grantham Girls' School</t>
  </si>
  <si>
    <t>KESTEVEN AND GRANTHAM GIRLS' SCHOOL ACADEMY TRUST</t>
  </si>
  <si>
    <t>Kesteven and Sleaford High School Selective Academy</t>
  </si>
  <si>
    <t>THE ROBERT CARRE TRUST</t>
  </si>
  <si>
    <t>Lincoln UTC</t>
  </si>
  <si>
    <t>LINCOLN UTC</t>
  </si>
  <si>
    <t>The Deepings School</t>
  </si>
  <si>
    <t>The Barnes Wallis Academy</t>
  </si>
  <si>
    <t>Thomas Middlecott Academy</t>
  </si>
  <si>
    <t>Charles Read Academy</t>
  </si>
  <si>
    <t>Somercotes Academy</t>
  </si>
  <si>
    <t>Walton Academy</t>
  </si>
  <si>
    <t>DIVERSE ACADEMIES TRUST</t>
  </si>
  <si>
    <t>Boston High School</t>
  </si>
  <si>
    <t>BOSTON HIGH SCHOOL</t>
  </si>
  <si>
    <t>Spalding Academy</t>
  </si>
  <si>
    <t>Louth Academy</t>
  </si>
  <si>
    <t>The Priory Pembroke Academy</t>
  </si>
  <si>
    <t>The Gainsborough Academy</t>
  </si>
  <si>
    <t>WICKERSLEY PARTNERSHIP TRUST</t>
  </si>
  <si>
    <t>University Academy Long Sutton</t>
  </si>
  <si>
    <t>John Spendluffe Foundation Technology College</t>
  </si>
  <si>
    <t>JOHN SPENDLUFFE TECHNOLOGY COLLEGE</t>
  </si>
  <si>
    <t>Caistor Yarborough Academy</t>
  </si>
  <si>
    <t>CAISTOR YARBOROUGH ACADEMY LIMITED</t>
  </si>
  <si>
    <t>The Banovallum School</t>
  </si>
  <si>
    <t>The Giles Academy</t>
  </si>
  <si>
    <t>West Grantham Church of England Secondary Academy</t>
  </si>
  <si>
    <t>Cowley Academy</t>
  </si>
  <si>
    <t>Lincoln Castle Academy</t>
  </si>
  <si>
    <t>DELTA ACADEMIES TRUST</t>
  </si>
  <si>
    <t>Stamford Welland Academy</t>
  </si>
  <si>
    <t>Haven High Academy</t>
  </si>
  <si>
    <t>Bourne Grammar School</t>
  </si>
  <si>
    <t>BOURNE GRAMMAR SCHOOL</t>
  </si>
  <si>
    <t>De Aston School</t>
  </si>
  <si>
    <t>DE ASTON SCHOOL ACADEMY TRUST</t>
  </si>
  <si>
    <t>William Lovell Church of England Academy</t>
  </si>
  <si>
    <t>Spalding Grammar School</t>
  </si>
  <si>
    <t>SPALDING GRAMMAR SCHOOL</t>
  </si>
  <si>
    <t>Rauceby Church of England Primary School</t>
  </si>
  <si>
    <t>RAUCEBY CHURCH OF ENGLAND PRIMARY SCHOOL</t>
  </si>
  <si>
    <t>William Alvey School</t>
  </si>
  <si>
    <t>THE WILLIAM ALVEY SCHOOL TRUST</t>
  </si>
  <si>
    <t>Malcolm Sargent Primary School</t>
  </si>
  <si>
    <t>THE MALCOLM SARGENT PRIMARY SCHOOL</t>
  </si>
  <si>
    <t>Lacey Gardens Junior Academy</t>
  </si>
  <si>
    <t>St Andrew's CofE Primary School</t>
  </si>
  <si>
    <t>ST ANDREW'S CHURCH OF ENGLAND ACADEMY</t>
  </si>
  <si>
    <t>Huttoft Primary &amp; Nursery School</t>
  </si>
  <si>
    <t>Spalding Primary Academy</t>
  </si>
  <si>
    <t>Washingborough Academy</t>
  </si>
  <si>
    <t>AURUM ACADEMIES TRUST</t>
  </si>
  <si>
    <t>Wyberton Primary Academy</t>
  </si>
  <si>
    <t>Old Leake Primary Academy</t>
  </si>
  <si>
    <t>Wrangle Primary Academy</t>
  </si>
  <si>
    <t>Tower Road Academy</t>
  </si>
  <si>
    <t>The Nettleham Infant and Nursery School</t>
  </si>
  <si>
    <t>NETTLEHAM INFANT AND NURSERY SCHOOL</t>
  </si>
  <si>
    <t>Westgate Academy</t>
  </si>
  <si>
    <t>Ruskington Chestnut Street Church of England Academy</t>
  </si>
  <si>
    <t>Mount Street Academy</t>
  </si>
  <si>
    <t>Skegness Grammar School</t>
  </si>
  <si>
    <t>Queen Elizabeth's Grammar Alford - A Selective Academy</t>
  </si>
  <si>
    <t>QUEEN ELIZABETH'S GRAMMAR, ALFORD - A SELECTIVE ACADEMY LIMITED</t>
  </si>
  <si>
    <t>The King's School, Grantham</t>
  </si>
  <si>
    <t>THE KING'S SCHOOL</t>
  </si>
  <si>
    <t>Carre's Grammar School</t>
  </si>
  <si>
    <t>King Edward VI Grammar School</t>
  </si>
  <si>
    <t>KING EDWARD VI EDUCATION TRUST</t>
  </si>
  <si>
    <t>Caistor Grammar School</t>
  </si>
  <si>
    <t>CAISTOR GRAMMAR SCHOOL</t>
  </si>
  <si>
    <t>Lincoln Christ's Hospital School</t>
  </si>
  <si>
    <t>LINCOLN CHRIST'S HOSPITAL SCHOOL</t>
  </si>
  <si>
    <t>Queen Elizabeth's Grammar School, Horncastle</t>
  </si>
  <si>
    <t>North Kesteven Academy</t>
  </si>
  <si>
    <t>NORTH KESTEVEN ACADEMY</t>
  </si>
  <si>
    <t>Sir Robert Pattinson Academy</t>
  </si>
  <si>
    <t>SIR ROBERT PATTINSON ACADEMY</t>
  </si>
  <si>
    <t>William Farr CofE Comprehensive School</t>
  </si>
  <si>
    <t>WILLIAM FARR CHURCH OF ENGLAND COMPREHENSIVE SCHOOL</t>
  </si>
  <si>
    <t>Branston Community Academy</t>
  </si>
  <si>
    <t>BRANSTON ACADEMY TRUST</t>
  </si>
  <si>
    <t>Sir William Robertson Academy, Welbourn</t>
  </si>
  <si>
    <t>St Peter and St Paul, Catholic Voluntary Academy</t>
  </si>
  <si>
    <t>The Boston Grammar School</t>
  </si>
  <si>
    <t>BOSTON GRAMMAR SCHOOL</t>
  </si>
  <si>
    <t>The Priory Witham Academy</t>
  </si>
  <si>
    <t>All-through</t>
  </si>
  <si>
    <t>The Priory City of Lincoln Academy</t>
  </si>
  <si>
    <t>The Priory Academy LSST</t>
  </si>
  <si>
    <t>St George's Academy</t>
  </si>
  <si>
    <t>ST GEORGE'S ACADEMY TRUST</t>
  </si>
  <si>
    <t>The Priory Ruskin Academy</t>
  </si>
  <si>
    <t>Skegness Academy</t>
  </si>
  <si>
    <t>Grantham Additional Needs Fellowship</t>
  </si>
  <si>
    <t>Special</t>
  </si>
  <si>
    <t>Gosberton House Academy</t>
  </si>
  <si>
    <t>Tulip Academy</t>
  </si>
  <si>
    <t>Boston Endeavour Academy</t>
  </si>
  <si>
    <t>INSPIRE CONNECTED COMMUNITIES TRUST</t>
  </si>
  <si>
    <t>The Eresby School, Spilsby</t>
  </si>
  <si>
    <t>Willoughby Academy</t>
  </si>
  <si>
    <t>Warren Wood - A Specialist Academy</t>
  </si>
  <si>
    <t>MAYFLOWER SPECIALIST SCHOOL ACADEMY TRUST</t>
  </si>
  <si>
    <t>Aegir - A Specialist Academy</t>
  </si>
  <si>
    <t>The Pilgrim School</t>
  </si>
  <si>
    <t>Community special school</t>
  </si>
  <si>
    <t>The Lincoln St Christopher's School</t>
  </si>
  <si>
    <t>The St Francis Special School, Lincoln</t>
  </si>
  <si>
    <t>(</t>
  </si>
  <si>
    <t>Funding for an average 150 school</t>
  </si>
  <si>
    <t>Outdoor Grounds Maintenance</t>
  </si>
  <si>
    <t>Cleaning Material</t>
  </si>
  <si>
    <t>Maintenance</t>
  </si>
  <si>
    <t>DfE RPA</t>
  </si>
  <si>
    <t>Refuse / Sundries</t>
  </si>
  <si>
    <t>Class of 10</t>
  </si>
  <si>
    <t>Class of 8 - applied as TA1s</t>
  </si>
  <si>
    <t>Athena's non PFI building is low in cost differential</t>
  </si>
  <si>
    <t>Cleaning and caretaking will be more</t>
  </si>
  <si>
    <t>Not eligible for split-site funding due to not meeting DfE criteria</t>
  </si>
  <si>
    <t>Diff. Class of 10</t>
  </si>
  <si>
    <t>Difference</t>
  </si>
  <si>
    <t>Medical Band 1</t>
  </si>
  <si>
    <t>AP / Medical Band 2</t>
  </si>
  <si>
    <t>x</t>
  </si>
  <si>
    <t>Boston End</t>
  </si>
  <si>
    <t>Willoughby</t>
  </si>
  <si>
    <t>Non-Staffing Costs</t>
  </si>
  <si>
    <t>Significant variation in non-staffing costs across the schools, caused by different spending priorities.</t>
  </si>
  <si>
    <t>Top up: based on a further 3 TAs (in addition to the teacher and TA in the core classroom delivery) - Application of a 0.15FTE extra within the All-complex needs band - 5 hours a week.</t>
  </si>
  <si>
    <t>Catering staff have been built into the staffing aspect of the formula, and meal costs will be offset by the FSM factor and income from parents.</t>
  </si>
  <si>
    <t>Important to ensure no duplication with the staffing costs built into the formula compared to delivery models of delivery, i.e. cleaning, agency costs etc.</t>
  </si>
  <si>
    <t>The variation in costs and models have excluded maintenance and cleaning before, the costs being added back in.</t>
  </si>
  <si>
    <t>Other Occupational costs of £0.054m impacts the schools cost per place (c.£300).</t>
  </si>
  <si>
    <t>Baseline non-staffing costs</t>
  </si>
  <si>
    <t>Cleaning</t>
  </si>
  <si>
    <t>Without Medical Equipment</t>
  </si>
  <si>
    <t>Based on a 150 place school</t>
  </si>
  <si>
    <t>Based on AAR returns from 2023/24.</t>
  </si>
  <si>
    <t>Total Funding (- FSM)</t>
  </si>
  <si>
    <t>SENCO - Teacher</t>
  </si>
  <si>
    <t>These two schools represent the average school size, therefore, applying the £1,200 as the starting position for non-staffing costs.</t>
  </si>
  <si>
    <t>5% Ceiling - scaling 50%</t>
  </si>
  <si>
    <t>Funding Comparison</t>
  </si>
  <si>
    <t>New Formula Modelling - Special Schools 2026-27 - c (updated non-staffing) - SEMH - post review - update</t>
  </si>
  <si>
    <t>Protection Funding</t>
  </si>
  <si>
    <t>26/27 Band Profiles</t>
  </si>
  <si>
    <t>Total Moderations</t>
  </si>
  <si>
    <t>Band A</t>
  </si>
  <si>
    <t>Band B</t>
  </si>
  <si>
    <t>Band C</t>
  </si>
  <si>
    <t>Band D</t>
  </si>
  <si>
    <t>Band E</t>
  </si>
  <si>
    <t>Band F</t>
  </si>
  <si>
    <t>OLEA Number</t>
  </si>
  <si>
    <t>Ave Places</t>
  </si>
  <si>
    <t>2025/26 - Pre</t>
  </si>
  <si>
    <t>2025/26 - Post</t>
  </si>
  <si>
    <t>2026/27 - Pre</t>
  </si>
  <si>
    <t>2026/27 - Post</t>
  </si>
  <si>
    <t>2025/26 - Total</t>
  </si>
  <si>
    <t>Ave. Place Numbers</t>
  </si>
  <si>
    <t>2026/27 Places</t>
  </si>
  <si>
    <t>Smaller than average School &lt;150 (&lt;80)</t>
  </si>
  <si>
    <t>Inspire Connected Communities Trust - Aegir School</t>
  </si>
  <si>
    <t>Mayflower Academy Warren Wood - A Specialist Academy</t>
  </si>
  <si>
    <t>St Bernards School, Louth</t>
  </si>
  <si>
    <t>The Eresby School</t>
  </si>
  <si>
    <t>St Francis Special Needs School</t>
  </si>
  <si>
    <t>St Christopher's Special School</t>
  </si>
  <si>
    <t>Newton Bridge Academy</t>
  </si>
  <si>
    <t>Free School Meals Eligibility - Oct.25</t>
  </si>
  <si>
    <t>FSM Funding</t>
  </si>
  <si>
    <t>Free School Meals Funding</t>
  </si>
  <si>
    <t>Special Schools Funding - Lincolnshire Model 2026/27 - Pre &amp; Post 16 Children</t>
  </si>
  <si>
    <t>PFI Funding</t>
  </si>
  <si>
    <t>Budget Share Headings</t>
  </si>
  <si>
    <t>No. of Places</t>
  </si>
  <si>
    <t>Unit Value (£)</t>
  </si>
  <si>
    <t>Amount 
(£)</t>
  </si>
  <si>
    <t>Agreed Place Number (APN)</t>
  </si>
  <si>
    <t>a)</t>
  </si>
  <si>
    <t>Pupil led factors</t>
  </si>
  <si>
    <t>b)</t>
  </si>
  <si>
    <t>Split site</t>
  </si>
  <si>
    <t>Minimum Funding Guarantee</t>
  </si>
  <si>
    <t>Academic year 2026/27 - Pre 16 (7/12)</t>
  </si>
  <si>
    <t>Academic year 2025/26 - Pre 16 (5/12)</t>
  </si>
  <si>
    <t>Academic year 2025/26 - Post 16 (4/12)</t>
  </si>
  <si>
    <t>Academic year 2026/27 - Post 16 (8/12)</t>
  </si>
  <si>
    <t>Please enter school's 7 digit DfE number (925XXXX):</t>
  </si>
  <si>
    <t>b) Core Schools Budget Grant</t>
  </si>
  <si>
    <t>Core Schools Delivery</t>
  </si>
  <si>
    <t>All-Complex Needs</t>
  </si>
  <si>
    <t>Enhanced Needs</t>
  </si>
  <si>
    <t>All-complex Needs</t>
  </si>
  <si>
    <t>SEMH School</t>
  </si>
  <si>
    <t>Type of School</t>
  </si>
  <si>
    <t>All-complex Needs School</t>
  </si>
  <si>
    <t>Core School Delivery</t>
  </si>
  <si>
    <t>c) Historic Teachers' Pay and Pension Grant</t>
  </si>
  <si>
    <t>Total Place Funding</t>
  </si>
  <si>
    <t>Average Place Numbers for Additional Funding</t>
  </si>
  <si>
    <t>2026/27 - Total</t>
  </si>
  <si>
    <t>No. of Pupils</t>
  </si>
  <si>
    <t>PFI</t>
  </si>
  <si>
    <t xml:space="preserve">School Factors </t>
  </si>
  <si>
    <t>Free School Meal Eligibility (October 2025)</t>
  </si>
  <si>
    <t>Tolerance - Band B Discrepancies</t>
  </si>
  <si>
    <t>Tolerance - Band B Discrepancies- number</t>
  </si>
  <si>
    <t>Core Schools Budget Grant</t>
  </si>
  <si>
    <t>Historic Pay and Pension Grant</t>
  </si>
  <si>
    <t>Additional 3.4%: Place value</t>
  </si>
  <si>
    <t>Additional 3.4%: Place funding</t>
  </si>
  <si>
    <t>5% Tolerance Correction of former Band B to All-complex Needs (one-off)</t>
  </si>
  <si>
    <t>a) High Needs Additional Funding -  3.4% - pre-determined rate</t>
  </si>
  <si>
    <t xml:space="preserve">Total School Factor Funding </t>
  </si>
  <si>
    <t>Additional Funding (outside of Place and Top-Up Funding)</t>
  </si>
  <si>
    <t>Total Additional Funding</t>
  </si>
  <si>
    <t xml:space="preserve">Total Indicative Top-Up Funding </t>
  </si>
  <si>
    <t/>
  </si>
  <si>
    <t>Teachers' Pay Grant</t>
  </si>
  <si>
    <t>Teachers' Pension Grant</t>
  </si>
  <si>
    <t>Check</t>
  </si>
  <si>
    <t>2025/26 Comparison</t>
  </si>
  <si>
    <t>Note: exclude PFI costs</t>
  </si>
  <si>
    <t>LCC Pupils</t>
  </si>
  <si>
    <t>Total Funding - Less of PFI and FSM</t>
  </si>
  <si>
    <t>MINUS £660</t>
  </si>
  <si>
    <t>A</t>
  </si>
  <si>
    <t>Removal of Core School Classroom Delivery for empty places</t>
  </si>
  <si>
    <t>Split Site Funding</t>
  </si>
  <si>
    <t>Small School Funding</t>
  </si>
  <si>
    <t>Permanent Funding</t>
  </si>
  <si>
    <t>Budgeted</t>
  </si>
  <si>
    <t>Historic Pay Grant</t>
  </si>
  <si>
    <t>3.4% Funding</t>
  </si>
  <si>
    <t>Average Place Numbers</t>
  </si>
  <si>
    <t xml:space="preserve">All-Need </t>
  </si>
  <si>
    <t>2025/26 Funding Arrangements</t>
  </si>
  <si>
    <t>Year-by-Year Diff.</t>
  </si>
  <si>
    <t>Core Diff.</t>
  </si>
  <si>
    <t>All-Need Diff.</t>
  </si>
  <si>
    <t>Enhanced Diff.</t>
  </si>
  <si>
    <t>OLEA or Growth (band on band profiles)</t>
  </si>
  <si>
    <t>Place Change</t>
  </si>
  <si>
    <t>Comparison 2026/27 from 2025/26</t>
  </si>
  <si>
    <t>Place number change</t>
  </si>
  <si>
    <t>Funding Change</t>
  </si>
  <si>
    <t>Updated Baseline.</t>
  </si>
  <si>
    <t>Total Funding (All Places) - New Formula</t>
  </si>
  <si>
    <t>Total Funding - Existing Formula</t>
  </si>
  <si>
    <t>2025/26 Funding Difference - Comparison</t>
  </si>
  <si>
    <t>Protection Arrangements - Funding for All Places (and accompanying top up funding)</t>
  </si>
  <si>
    <t>Without the £660 removed - to provide a like-for-like comparison</t>
  </si>
  <si>
    <t>5% Ceiling and 50% Scaling</t>
  </si>
  <si>
    <t>Cost per Place - New Formula</t>
  </si>
  <si>
    <t>Cost per Place - Existing Formula</t>
  </si>
  <si>
    <t>Cost per Place Change</t>
  </si>
  <si>
    <t>Cost per Place % Change</t>
  </si>
  <si>
    <t>Ceiling</t>
  </si>
  <si>
    <t>Scaling</t>
  </si>
  <si>
    <t>Cost per Place removal</t>
  </si>
  <si>
    <t>Moderated Numbers - protection removal</t>
  </si>
  <si>
    <t>Ceiling Gain and Scaling</t>
  </si>
  <si>
    <t>Small School (scaling funding from 150 places to 100 places)</t>
  </si>
  <si>
    <t>Transition (Ceiling Cap: 5% and Scaling 50%) deduction (pupils)</t>
  </si>
  <si>
    <t>Additional Funding Academic year 2025/26 (5/12) and 2026/27 (7/12)</t>
  </si>
  <si>
    <t>All-Complex Need Schools</t>
  </si>
  <si>
    <t>Specialist SEMH Schools</t>
  </si>
  <si>
    <t>Top up Funding Levels</t>
  </si>
  <si>
    <t>School Size 6 Transition Point</t>
  </si>
  <si>
    <t>Exceptional Funding</t>
  </si>
  <si>
    <t xml:space="preserve">Will require a budget for in-year adjustments (all-need top-ups for agreed places, or full place costs for new placements) </t>
  </si>
  <si>
    <t>Will require a provision for exceptional funding seen in year.</t>
  </si>
  <si>
    <t>2026/27</t>
  </si>
  <si>
    <t>Non-Staffing block</t>
  </si>
  <si>
    <t>Banded funding</t>
  </si>
  <si>
    <t>Average Places</t>
  </si>
  <si>
    <t>Local Protection</t>
  </si>
  <si>
    <t>Split Site funding</t>
  </si>
  <si>
    <t>Percentage increase Transition</t>
  </si>
  <si>
    <t>Notes Section</t>
  </si>
  <si>
    <t>1a</t>
  </si>
  <si>
    <t>2a</t>
  </si>
  <si>
    <t>* Special schools will receive a base level of funding of £10,000 per planned place for their provision of pre-16 and post-16 pupils. 
* Place numbers for special schools are agreed in the Autumn term for the following academic year and are representative of all pupil places (Lincolnshire pupils and other Local Authority pupils).</t>
  </si>
  <si>
    <t>* Indicative top up funding is based on the Autumn 2025 Lincolnshire (only) moderated pupil on roll and their band characteristics. 
* Other Local Authority pupils top up funding will be recovered by the school from the placing Local Authority. 
* The termly in-year adjustments process detailing the number of pupils present in the school each week will be the mechanism to ensure the top up funding received by schools is based on Lincolnshire pupils and their level of need. Funding adjustments will be made for new pupil top up funding based on their level of need along with pupil leavers.
* Where Lincolnshire makes placements above the agreed place number, the full place cost (place and top up) on a pro-rata basis will be applied.</t>
  </si>
  <si>
    <t>3a</t>
  </si>
  <si>
    <r>
      <t>Indicative Top-Up Funding</t>
    </r>
    <r>
      <rPr>
        <sz val="14"/>
        <color theme="1"/>
        <rFont val="Arial"/>
        <family val="2"/>
      </rPr>
      <t xml:space="preserve"> 
</t>
    </r>
    <r>
      <rPr>
        <sz val="12"/>
        <color theme="1"/>
        <rFont val="Arial"/>
        <family val="2"/>
      </rPr>
      <t xml:space="preserve">(based on Autumn 2025 </t>
    </r>
    <r>
      <rPr>
        <b/>
        <sz val="12"/>
        <color theme="1"/>
        <rFont val="Arial"/>
        <family val="2"/>
      </rPr>
      <t>Lincolnshire</t>
    </r>
    <r>
      <rPr>
        <sz val="12"/>
        <color theme="1"/>
        <rFont val="Arial"/>
        <family val="2"/>
      </rPr>
      <t xml:space="preserve"> moderated pupil on roll and characteristics) </t>
    </r>
  </si>
  <si>
    <t>School led factors</t>
  </si>
  <si>
    <t>3b</t>
  </si>
  <si>
    <t>School led factors include:
* Free School Meals eligibility based on the October 2025 schools census - no further adjustment.
* 5% Tolerance Correction of former Band B to All-complex Needs - this is a one year only adjustment to enable permanent changes to be made for 2027/28 funding levels.</t>
  </si>
  <si>
    <t>* Represents additional funding to be treated outside of the government's place and top up arrangements from legacy funding streams (for example, meeting additional cost burdens, such as pay awards).
* Funding for the  2026/27 financial year place numbers is based on five-twelfths of 2025/26 academic year’s place number for the period April to August, and seven-twelfths of the 2026/27 academic year’s place number for the period September to March.
* The historic teachers' pay and pension grant (from 2018 and 2019) was previously mainstreamed into the prior formula, but for 2026/27 this is being treated and funded separately.</t>
  </si>
  <si>
    <t>4
a-c</t>
  </si>
  <si>
    <t xml:space="preserve">The application of a gains ceilings (5% ceiling and 50% scaling) to transition schools to the new formula. </t>
  </si>
  <si>
    <t>Cost per Place</t>
  </si>
  <si>
    <t>Per Place Change</t>
  </si>
  <si>
    <t>Minimum Funding Guarantee Illustration</t>
  </si>
  <si>
    <t>School led factors include:
* Split site factor for eligible schools operating over more than one school site to recognise the additional costs in such arrangements (£82,700). Eligible criteria is: must be more than 100 metres (by road distance) from the main site and separated from the main schools site by a public road or railway.
* Small school factor on a sliding scale (less than 150 places to 100 places for All-complex Need schools) to support their higher cost place (£82,700).
* Private Finance Initiative to reflect the contractual obligations for certain services - recovered by the council.</t>
  </si>
  <si>
    <t>* The Gains Ceiling and Minimum Funding Guarantee(MFG) illustrations below show the calculation based on the determined funding through the existing special schools funding formula compared to the proposed new special schools funding formula using 2025/26 and 2026/27 data. 
* The MFG illustration assumes all places are Lincolnshire pupils. 
* To ensure a like-for-like comparison, it assumes all places are filled by Lincolnshire pupils and the historic teachers' pay and pension grant funding previously mainstreamed into the existing formula has been added into the top up funding unit values (increased by £660) within the new formula for comparison purposes.</t>
  </si>
  <si>
    <t>Cost of Band B corrections - likely to be a permanent budget increase (£0.383m)</t>
  </si>
  <si>
    <t>Plus CSBG</t>
  </si>
  <si>
    <t>Plus Band B</t>
  </si>
  <si>
    <t>2027/28</t>
  </si>
  <si>
    <t>Req' 2026/27</t>
  </si>
  <si>
    <t>Exceptional funding</t>
  </si>
  <si>
    <t xml:space="preserve">Core School Budget Grant </t>
  </si>
  <si>
    <t>Apr-Aug</t>
  </si>
  <si>
    <t>Sept-Mar</t>
  </si>
  <si>
    <t>Monthly Allocation of top up funding; school factors and additional funding: April 2026 - August 2027</t>
  </si>
  <si>
    <t>Monthly Allocation of top up funding; school factors and additional funding:  September 2026 - March 2027</t>
  </si>
  <si>
    <t>Place funding allocated through the General Annual Grant for Special Academies and a budget allocation for Maintained Special Schools.</t>
  </si>
  <si>
    <t>2026/27 Budget Share (April 2026 to March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</si>
</sst>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quot;£&quot;#,##0"/>
    <numFmt numFmtId="6" formatCode="&quot;£&quot;#,##0;[Red]\-&quot;£&quot;#,##0"/>
    <numFmt numFmtId="8" formatCode="&quot;£&quot;#,##0.00;[Red]\-&quot;£&quot;#,##0.00"/>
    <numFmt numFmtId="43" formatCode="_-* #,##0.00_-;\-* #,##0.00_-;_-* &quot;-&quot;??_-;_-@_-"/>
    <numFmt numFmtId="164" formatCode="0.00_)"/>
    <numFmt numFmtId="165" formatCode="0.0000_)"/>
    <numFmt numFmtId="166" formatCode="General_)"/>
    <numFmt numFmtId="167" formatCode="0_)"/>
    <numFmt numFmtId="168" formatCode="_-* #,##0_-;\-* #,##0_-;_-* &quot;-&quot;??_-;_-@_-"/>
    <numFmt numFmtId="169" formatCode="&quot;£&quot;#,##0"/>
    <numFmt numFmtId="170" formatCode="0.0"/>
    <numFmt numFmtId="171" formatCode="0.000"/>
    <numFmt numFmtId="172" formatCode="#,##0.0"/>
    <numFmt numFmtId="173" formatCode="0.0%"/>
    <numFmt numFmtId="174" formatCode="&quot;£&quot;#,##0.00"/>
    <numFmt numFmtId="175" formatCode="_-* #,##0.0_-;\-* #,##0.0_-;_-* &quot;-&quot;??_-;_-@_-"/>
    <numFmt numFmtId="176" formatCode="#,##0\ ;\(#,##0\);0\ "/>
  </numFmts>
  <fonts count="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20"/>
      <color theme="0"/>
      <name val="Arial"/>
      <family val="2"/>
    </font>
    <font>
      <b/>
      <sz val="11"/>
      <name val="Arial"/>
      <family val="2"/>
    </font>
    <font>
      <sz val="14"/>
      <name val="Arial"/>
      <family val="2"/>
    </font>
    <font>
      <sz val="14"/>
      <name val="Arial Black"/>
      <family val="2"/>
    </font>
    <font>
      <sz val="16"/>
      <color theme="0"/>
      <name val="Arial"/>
      <family val="2"/>
    </font>
    <font>
      <sz val="12"/>
      <name val="Arial"/>
      <family val="2"/>
    </font>
    <font>
      <sz val="12"/>
      <name val="Arial Black"/>
      <family val="2"/>
    </font>
    <font>
      <b/>
      <sz val="10"/>
      <name val="Arial"/>
      <family val="2"/>
    </font>
    <font>
      <sz val="10"/>
      <name val="Arial"/>
      <family val="2"/>
    </font>
    <font>
      <sz val="10"/>
      <color theme="0"/>
      <name val="Arial"/>
      <family val="2"/>
    </font>
    <font>
      <sz val="12"/>
      <color theme="0"/>
      <name val="Arial"/>
      <family val="2"/>
    </font>
    <font>
      <sz val="10"/>
      <name val="Calibri"/>
      <family val="2"/>
      <scheme val="minor"/>
    </font>
    <font>
      <sz val="10"/>
      <name val="Arial Black"/>
      <family val="2"/>
    </font>
    <font>
      <sz val="10"/>
      <color theme="1"/>
      <name val="Arial"/>
      <family val="2"/>
    </font>
    <font>
      <sz val="12"/>
      <color indexed="13"/>
      <name val="Arial"/>
      <family val="2"/>
    </font>
    <font>
      <b/>
      <sz val="12"/>
      <name val="Arial Black"/>
      <family val="2"/>
    </font>
    <font>
      <sz val="12"/>
      <color theme="0"/>
      <name val="Arial Black"/>
      <family val="2"/>
    </font>
    <font>
      <sz val="8"/>
      <color theme="0"/>
      <name val="Arial Black"/>
      <family val="2"/>
    </font>
    <font>
      <b/>
      <sz val="10"/>
      <color theme="0"/>
      <name val="Arial"/>
      <family val="2"/>
    </font>
    <font>
      <b/>
      <sz val="10"/>
      <color theme="0"/>
      <name val="Arial Black"/>
      <family val="2"/>
    </font>
    <font>
      <sz val="10"/>
      <color theme="0"/>
      <name val="Arial Black"/>
      <family val="2"/>
    </font>
    <font>
      <b/>
      <sz val="10"/>
      <name val="Arial Black"/>
      <family val="2"/>
    </font>
    <font>
      <sz val="12"/>
      <color indexed="10"/>
      <name val="Arial"/>
      <family val="2"/>
    </font>
    <font>
      <sz val="12"/>
      <color rgb="FF00B050"/>
      <name val="Arial"/>
      <family val="2"/>
    </font>
    <font>
      <sz val="12"/>
      <color theme="1"/>
      <name val="Arial"/>
      <family val="2"/>
    </font>
    <font>
      <i/>
      <sz val="12"/>
      <name val="Arial"/>
      <family val="2"/>
    </font>
    <font>
      <sz val="11"/>
      <name val="Arial"/>
      <family val="2"/>
    </font>
    <font>
      <b/>
      <sz val="11"/>
      <color theme="0"/>
      <name val="Arial"/>
      <family val="2"/>
    </font>
    <font>
      <sz val="8"/>
      <name val="Arial Black"/>
      <family val="2"/>
    </font>
    <font>
      <sz val="8"/>
      <color theme="0"/>
      <name val="Arial"/>
      <family val="2"/>
    </font>
    <font>
      <b/>
      <sz val="11"/>
      <color theme="1"/>
      <name val="Arial"/>
      <family val="2"/>
    </font>
    <font>
      <sz val="10"/>
      <name val="Courier"/>
    </font>
    <font>
      <b/>
      <sz val="10"/>
      <name val="Courier"/>
      <family val="3"/>
    </font>
    <font>
      <sz val="12"/>
      <name val="Courier"/>
      <family val="3"/>
    </font>
    <font>
      <sz val="10"/>
      <name val="Courier"/>
      <family val="3"/>
    </font>
    <font>
      <u/>
      <sz val="10"/>
      <color theme="10"/>
      <name val="Arial"/>
      <family val="2"/>
    </font>
    <font>
      <u/>
      <sz val="10"/>
      <color theme="10"/>
      <name val="Arial"/>
      <family val="2"/>
    </font>
    <font>
      <sz val="9"/>
      <color indexed="81"/>
      <name val="Tahoma"/>
      <family val="2"/>
    </font>
    <font>
      <b/>
      <sz val="9"/>
      <color indexed="81"/>
      <name val="Tahoma"/>
      <family val="2"/>
    </font>
    <font>
      <b/>
      <sz val="10"/>
      <color theme="1"/>
      <name val="Arial"/>
      <family val="2"/>
    </font>
    <font>
      <u/>
      <sz val="10"/>
      <color theme="1"/>
      <name val="Arial"/>
      <family val="2"/>
    </font>
    <font>
      <sz val="10"/>
      <color theme="0" tint="-0.14999847407452621"/>
      <name val="Arial"/>
      <family val="2"/>
    </font>
    <font>
      <b/>
      <u/>
      <sz val="10"/>
      <name val="Arial"/>
      <family val="2"/>
    </font>
    <font>
      <u/>
      <sz val="10"/>
      <name val="Arial"/>
      <family val="2"/>
    </font>
    <font>
      <b/>
      <sz val="10"/>
      <color rgb="FFFF0000"/>
      <name val="Arial"/>
      <family val="2"/>
    </font>
    <font>
      <sz val="10"/>
      <color rgb="FFFF0000"/>
      <name val="Arial"/>
      <family val="2"/>
    </font>
    <font>
      <i/>
      <sz val="10"/>
      <color theme="1"/>
      <name val="Arial"/>
      <family val="2"/>
    </font>
    <font>
      <sz val="8"/>
      <name val="Arial"/>
      <family val="2"/>
    </font>
    <font>
      <u/>
      <sz val="10"/>
      <color rgb="FFFF0000"/>
      <name val="Arial"/>
      <family val="2"/>
    </font>
    <font>
      <i/>
      <sz val="10"/>
      <color rgb="FF00B050"/>
      <name val="Arial"/>
      <family val="2"/>
    </font>
    <font>
      <i/>
      <sz val="10"/>
      <name val="Arial"/>
      <family val="2"/>
    </font>
    <font>
      <sz val="10"/>
      <name val="Arial"/>
      <family val="2"/>
    </font>
    <font>
      <b/>
      <sz val="10"/>
      <color rgb="FF0B0C0C"/>
      <name val="Arial"/>
      <family val="2"/>
    </font>
    <font>
      <sz val="11"/>
      <color theme="5"/>
      <name val="Calibri"/>
      <family val="2"/>
      <scheme val="minor"/>
    </font>
    <font>
      <i/>
      <sz val="11"/>
      <color theme="1"/>
      <name val="Calibri"/>
      <family val="2"/>
      <scheme val="minor"/>
    </font>
    <font>
      <sz val="11"/>
      <color theme="4"/>
      <name val="Calibri"/>
      <family val="2"/>
      <scheme val="minor"/>
    </font>
    <font>
      <b/>
      <sz val="11"/>
      <color theme="5"/>
      <name val="Calibri"/>
      <family val="2"/>
      <scheme val="minor"/>
    </font>
    <font>
      <b/>
      <i/>
      <sz val="11"/>
      <color theme="1"/>
      <name val="Calibri"/>
      <family val="2"/>
      <scheme val="minor"/>
    </font>
    <font>
      <b/>
      <sz val="11"/>
      <color theme="4"/>
      <name val="Calibri"/>
      <family val="2"/>
      <scheme val="minor"/>
    </font>
    <font>
      <u val="singleAccounting"/>
      <sz val="11"/>
      <color theme="5"/>
      <name val="Calibri"/>
      <family val="2"/>
      <scheme val="minor"/>
    </font>
    <font>
      <b/>
      <u val="singleAccounting"/>
      <sz val="11"/>
      <color theme="1"/>
      <name val="Calibri"/>
      <family val="2"/>
      <scheme val="minor"/>
    </font>
    <font>
      <u val="singleAccounting"/>
      <sz val="11"/>
      <color theme="1"/>
      <name val="Calibri"/>
      <family val="2"/>
      <scheme val="minor"/>
    </font>
    <font>
      <i/>
      <sz val="11"/>
      <color theme="4"/>
      <name val="Calibri"/>
      <family val="2"/>
      <scheme val="minor"/>
    </font>
    <font>
      <i/>
      <sz val="10"/>
      <color rgb="FFFF0000"/>
      <name val="Arial"/>
      <family val="2"/>
    </font>
    <font>
      <sz val="11"/>
      <color theme="1"/>
      <name val="Arial"/>
      <family val="2"/>
    </font>
    <font>
      <sz val="11"/>
      <color theme="5"/>
      <name val="Arial"/>
      <family val="2"/>
    </font>
    <font>
      <i/>
      <sz val="11"/>
      <color theme="1"/>
      <name val="Arial"/>
      <family val="2"/>
    </font>
    <font>
      <sz val="11"/>
      <color theme="4"/>
      <name val="Arial"/>
      <family val="2"/>
    </font>
    <font>
      <sz val="10"/>
      <name val="Arial"/>
      <family val="2"/>
    </font>
    <font>
      <sz val="11"/>
      <color indexed="8"/>
      <name val="Calibri"/>
      <family val="2"/>
    </font>
    <font>
      <b/>
      <sz val="10"/>
      <color indexed="8"/>
      <name val="Arial"/>
      <family val="2"/>
    </font>
    <font>
      <sz val="10"/>
      <color indexed="8"/>
      <name val="Arial"/>
      <family val="2"/>
    </font>
    <font>
      <sz val="11"/>
      <name val="Aptos Narrow"/>
      <family val="2"/>
    </font>
    <font>
      <b/>
      <sz val="18"/>
      <color theme="7" tint="-0.249977111117893"/>
      <name val="Arial"/>
      <family val="2"/>
    </font>
    <font>
      <sz val="11"/>
      <color theme="0"/>
      <name val="Arial"/>
      <family val="2"/>
    </font>
    <font>
      <sz val="20"/>
      <color theme="1"/>
      <name val="Arial"/>
      <family val="2"/>
    </font>
    <font>
      <b/>
      <sz val="16"/>
      <color theme="1"/>
      <name val="Arial"/>
      <family val="2"/>
    </font>
    <font>
      <b/>
      <sz val="14"/>
      <color theme="1"/>
      <name val="Arial"/>
      <family val="2"/>
    </font>
    <font>
      <b/>
      <sz val="12"/>
      <color theme="1"/>
      <name val="Arial"/>
      <family val="2"/>
    </font>
    <font>
      <sz val="14"/>
      <color theme="1"/>
      <name val="Arial"/>
      <family val="2"/>
    </font>
    <font>
      <sz val="16"/>
      <color theme="1"/>
      <name val="Arial"/>
      <family val="2"/>
    </font>
    <font>
      <b/>
      <sz val="14"/>
      <color theme="0"/>
      <name val="Arial"/>
      <family val="2"/>
    </font>
    <font>
      <i/>
      <sz val="10"/>
      <color theme="0" tint="-0.34998626667073579"/>
      <name val="Arial"/>
      <family val="2"/>
    </font>
    <font>
      <i/>
      <sz val="10"/>
      <color theme="0" tint="-0.249977111117893"/>
      <name val="Arial"/>
      <family val="2"/>
    </font>
    <font>
      <b/>
      <sz val="14"/>
      <color rgb="FFFF0000"/>
      <name val="Arial"/>
      <family val="2"/>
    </font>
    <font>
      <sz val="12"/>
      <color theme="1"/>
      <name val="Calibri"/>
      <family val="2"/>
    </font>
    <font>
      <sz val="12"/>
      <name val="Calibri"/>
      <family val="2"/>
    </font>
    <font>
      <b/>
      <sz val="12"/>
      <name val="Calibri"/>
      <family val="2"/>
    </font>
  </fonts>
  <fills count="33">
    <fill>
      <patternFill patternType="none"/>
    </fill>
    <fill>
      <patternFill patternType="gray125"/>
    </fill>
    <fill>
      <patternFill patternType="solid">
        <fgColor theme="0"/>
        <bgColor indexed="64"/>
      </patternFill>
    </fill>
    <fill>
      <patternFill patternType="solid">
        <fgColor rgb="FF99AB21"/>
        <bgColor indexed="64"/>
      </patternFill>
    </fill>
    <fill>
      <patternFill patternType="solid">
        <fgColor rgb="FFD2E161"/>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rgb="FFEBF1DE"/>
        <bgColor indexed="64"/>
      </patternFill>
    </fill>
    <fill>
      <patternFill patternType="solid">
        <fgColor theme="8" tint="0.39997558519241921"/>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bgColor indexed="64"/>
      </patternFill>
    </fill>
    <fill>
      <patternFill patternType="solid">
        <fgColor theme="5" tint="0.59999389629810485"/>
        <bgColor indexed="64"/>
      </patternFill>
    </fill>
    <fill>
      <patternFill patternType="solid">
        <fgColor theme="3" tint="0.749992370372631"/>
        <bgColor indexed="64"/>
      </patternFill>
    </fill>
    <fill>
      <patternFill patternType="solid">
        <fgColor theme="6" tint="0.59999389629810485"/>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3" tint="0.89999084444715716"/>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95B3D7"/>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double">
        <color indexed="64"/>
      </right>
      <top style="thick">
        <color indexed="64"/>
      </top>
      <bottom style="thick">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s>
  <cellStyleXfs count="21">
    <xf numFmtId="0" fontId="0" fillId="0" borderId="0"/>
    <xf numFmtId="43" fontId="16" fillId="0" borderId="0" applyFont="0" applyFill="0" applyBorder="0" applyAlignment="0" applyProtection="0"/>
    <xf numFmtId="0" fontId="5" fillId="0" borderId="0"/>
    <xf numFmtId="167" fontId="39" fillId="0" borderId="0"/>
    <xf numFmtId="0" fontId="43" fillId="0" borderId="0" applyNumberFormat="0" applyFill="0" applyBorder="0" applyAlignment="0" applyProtection="0"/>
    <xf numFmtId="0" fontId="4" fillId="0" borderId="0"/>
    <xf numFmtId="0" fontId="16" fillId="0" borderId="0"/>
    <xf numFmtId="0" fontId="16" fillId="0" borderId="0"/>
    <xf numFmtId="0" fontId="34" fillId="0" borderId="0"/>
    <xf numFmtId="9" fontId="4" fillId="0" borderId="0" applyFont="0" applyFill="0" applyBorder="0" applyAlignment="0" applyProtection="0"/>
    <xf numFmtId="9" fontId="16" fillId="0" borderId="0" applyFont="0" applyFill="0" applyBorder="0" applyAlignment="0" applyProtection="0"/>
    <xf numFmtId="9" fontId="5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43" fontId="76" fillId="0" borderId="0" applyFont="0" applyFill="0" applyBorder="0" applyAlignment="0" applyProtection="0"/>
    <xf numFmtId="0" fontId="34" fillId="0" borderId="0"/>
    <xf numFmtId="0" fontId="77" fillId="0" borderId="0"/>
    <xf numFmtId="9" fontId="16" fillId="0" borderId="0" applyFont="0" applyFill="0" applyBorder="0" applyAlignment="0" applyProtection="0"/>
    <xf numFmtId="0" fontId="80" fillId="0" borderId="0"/>
    <xf numFmtId="0" fontId="1" fillId="0" borderId="0"/>
  </cellStyleXfs>
  <cellXfs count="960">
    <xf numFmtId="0" fontId="0" fillId="0" borderId="0" xfId="0"/>
    <xf numFmtId="0" fontId="7" fillId="2" borderId="0" xfId="0" applyFont="1" applyFill="1"/>
    <xf numFmtId="0" fontId="8" fillId="3" borderId="1" xfId="0" applyFont="1" applyFill="1" applyBorder="1"/>
    <xf numFmtId="0" fontId="9" fillId="3" borderId="2" xfId="0" applyFont="1" applyFill="1" applyBorder="1"/>
    <xf numFmtId="0" fontId="9" fillId="3" borderId="2" xfId="0" quotePrefix="1" applyFont="1" applyFill="1" applyBorder="1"/>
    <xf numFmtId="0" fontId="9" fillId="2" borderId="2" xfId="0" applyFont="1" applyFill="1" applyBorder="1"/>
    <xf numFmtId="0" fontId="9" fillId="3" borderId="3" xfId="0" applyFont="1" applyFill="1" applyBorder="1"/>
    <xf numFmtId="0" fontId="10" fillId="2" borderId="0" xfId="0" applyFont="1" applyFill="1"/>
    <xf numFmtId="0" fontId="10" fillId="2" borderId="0" xfId="0" applyFont="1" applyFill="1" applyAlignment="1">
      <alignment horizontal="left"/>
    </xf>
    <xf numFmtId="0" fontId="11" fillId="2" borderId="0" xfId="0" applyFont="1" applyFill="1"/>
    <xf numFmtId="0" fontId="11" fillId="0" borderId="0" xfId="0" applyFont="1"/>
    <xf numFmtId="0" fontId="12" fillId="3" borderId="4" xfId="0" applyFont="1" applyFill="1" applyBorder="1" applyAlignment="1">
      <alignment horizontal="left"/>
    </xf>
    <xf numFmtId="0" fontId="9" fillId="3" borderId="5" xfId="0" applyFont="1" applyFill="1" applyBorder="1" applyAlignment="1">
      <alignment horizontal="center"/>
    </xf>
    <xf numFmtId="0" fontId="9" fillId="3" borderId="5" xfId="0" quotePrefix="1" applyFont="1" applyFill="1" applyBorder="1" applyAlignment="1">
      <alignment horizontal="center"/>
    </xf>
    <xf numFmtId="0" fontId="9" fillId="2" borderId="5" xfId="0" applyFont="1" applyFill="1" applyBorder="1" applyAlignment="1">
      <alignment horizontal="center"/>
    </xf>
    <xf numFmtId="0" fontId="9" fillId="3" borderId="6" xfId="0" applyFont="1" applyFill="1" applyBorder="1" applyAlignment="1">
      <alignment horizontal="center"/>
    </xf>
    <xf numFmtId="0" fontId="7" fillId="4" borderId="7" xfId="0" applyFont="1" applyFill="1" applyBorder="1" applyAlignment="1">
      <alignment horizontal="left"/>
    </xf>
    <xf numFmtId="0" fontId="7" fillId="4" borderId="0" xfId="0" applyFont="1" applyFill="1" applyAlignment="1">
      <alignment horizontal="centerContinuous"/>
    </xf>
    <xf numFmtId="0" fontId="7" fillId="4" borderId="0" xfId="0" quotePrefix="1" applyFont="1" applyFill="1" applyAlignment="1">
      <alignment horizontal="centerContinuous"/>
    </xf>
    <xf numFmtId="0" fontId="7" fillId="4" borderId="8" xfId="0" applyFont="1" applyFill="1" applyBorder="1" applyAlignment="1">
      <alignment horizontal="centerContinuous"/>
    </xf>
    <xf numFmtId="0" fontId="13" fillId="2" borderId="0" xfId="0" applyFont="1" applyFill="1"/>
    <xf numFmtId="0" fontId="13" fillId="2" borderId="0" xfId="0" applyFont="1" applyFill="1" applyAlignment="1">
      <alignment horizontal="left"/>
    </xf>
    <xf numFmtId="0" fontId="14" fillId="2" borderId="0" xfId="0" applyFont="1" applyFill="1"/>
    <xf numFmtId="0" fontId="14" fillId="0" borderId="0" xfId="0" applyFont="1"/>
    <xf numFmtId="0" fontId="13" fillId="4" borderId="7" xfId="0" applyFont="1" applyFill="1" applyBorder="1" applyAlignment="1">
      <alignment horizontal="left"/>
    </xf>
    <xf numFmtId="0" fontId="13" fillId="4" borderId="7" xfId="0" applyFont="1" applyFill="1" applyBorder="1"/>
    <xf numFmtId="0" fontId="7" fillId="4" borderId="0" xfId="0" applyFont="1" applyFill="1"/>
    <xf numFmtId="0" fontId="7" fillId="4" borderId="8" xfId="0" applyFont="1" applyFill="1" applyBorder="1"/>
    <xf numFmtId="0" fontId="13" fillId="4" borderId="4" xfId="0" applyFont="1" applyFill="1" applyBorder="1"/>
    <xf numFmtId="0" fontId="7" fillId="4" borderId="5" xfId="0" applyFont="1" applyFill="1" applyBorder="1"/>
    <xf numFmtId="0" fontId="7" fillId="4" borderId="6" xfId="0" applyFont="1" applyFill="1" applyBorder="1"/>
    <xf numFmtId="0" fontId="15" fillId="5" borderId="7" xfId="0" applyFont="1" applyFill="1" applyBorder="1"/>
    <xf numFmtId="0" fontId="15" fillId="5" borderId="0" xfId="0" applyFont="1" applyFill="1"/>
    <xf numFmtId="0" fontId="0" fillId="5" borderId="0" xfId="0" applyFill="1" applyAlignment="1">
      <alignment horizontal="left"/>
    </xf>
    <xf numFmtId="0" fontId="15" fillId="5" borderId="0" xfId="0" applyFont="1" applyFill="1" applyAlignment="1">
      <alignment horizontal="left"/>
    </xf>
    <xf numFmtId="0" fontId="16" fillId="5" borderId="0" xfId="0" applyFont="1" applyFill="1"/>
    <xf numFmtId="0" fontId="16" fillId="5" borderId="8" xfId="0" applyFont="1" applyFill="1" applyBorder="1"/>
    <xf numFmtId="0" fontId="17" fillId="2" borderId="7" xfId="0" applyFont="1" applyFill="1" applyBorder="1"/>
    <xf numFmtId="0" fontId="17" fillId="2" borderId="0" xfId="0" applyFont="1" applyFill="1"/>
    <xf numFmtId="0" fontId="18" fillId="2" borderId="0" xfId="0" applyFont="1" applyFill="1"/>
    <xf numFmtId="0" fontId="19" fillId="5" borderId="7" xfId="0" applyFont="1" applyFill="1" applyBorder="1"/>
    <xf numFmtId="0" fontId="0" fillId="5" borderId="0" xfId="0" applyFill="1"/>
    <xf numFmtId="10" fontId="0" fillId="5" borderId="0" xfId="0" applyNumberFormat="1" applyFill="1"/>
    <xf numFmtId="0" fontId="20" fillId="5" borderId="0" xfId="0" applyFont="1" applyFill="1"/>
    <xf numFmtId="0" fontId="15" fillId="2" borderId="0" xfId="0" applyFont="1" applyFill="1"/>
    <xf numFmtId="164" fontId="20" fillId="5" borderId="0" xfId="0" applyNumberFormat="1" applyFont="1" applyFill="1"/>
    <xf numFmtId="0" fontId="20" fillId="5" borderId="0" xfId="0" applyFont="1" applyFill="1" applyAlignment="1">
      <alignment horizontal="left"/>
    </xf>
    <xf numFmtId="10" fontId="20" fillId="5" borderId="0" xfId="0" applyNumberFormat="1" applyFont="1" applyFill="1" applyAlignment="1">
      <alignment horizontal="right"/>
    </xf>
    <xf numFmtId="0" fontId="16" fillId="2" borderId="0" xfId="0" applyFont="1" applyFill="1"/>
    <xf numFmtId="0" fontId="20" fillId="2" borderId="0" xfId="0" applyFont="1" applyFill="1"/>
    <xf numFmtId="0" fontId="20" fillId="0" borderId="0" xfId="0" applyFont="1"/>
    <xf numFmtId="164" fontId="15" fillId="5" borderId="0" xfId="0" applyNumberFormat="1" applyFont="1" applyFill="1"/>
    <xf numFmtId="10" fontId="15" fillId="5" borderId="0" xfId="0" applyNumberFormat="1" applyFont="1" applyFill="1"/>
    <xf numFmtId="2" fontId="15" fillId="5" borderId="0" xfId="0" applyNumberFormat="1" applyFont="1" applyFill="1"/>
    <xf numFmtId="164" fontId="16" fillId="5" borderId="0" xfId="0" applyNumberFormat="1" applyFont="1" applyFill="1" applyAlignment="1">
      <alignment horizontal="left"/>
    </xf>
    <xf numFmtId="164" fontId="16" fillId="5" borderId="0" xfId="0" applyNumberFormat="1" applyFont="1" applyFill="1"/>
    <xf numFmtId="0" fontId="16" fillId="5" borderId="8" xfId="0" applyFont="1" applyFill="1" applyBorder="1" applyAlignment="1">
      <alignment horizontal="left"/>
    </xf>
    <xf numFmtId="165" fontId="17" fillId="2" borderId="0" xfId="0" applyNumberFormat="1" applyFont="1" applyFill="1"/>
    <xf numFmtId="0" fontId="20" fillId="5" borderId="9" xfId="0" applyFont="1" applyFill="1" applyBorder="1"/>
    <xf numFmtId="0" fontId="16" fillId="5" borderId="10" xfId="0" applyFont="1" applyFill="1" applyBorder="1"/>
    <xf numFmtId="10" fontId="0" fillId="5" borderId="10" xfId="0" applyNumberFormat="1" applyFill="1" applyBorder="1"/>
    <xf numFmtId="0" fontId="20" fillId="5" borderId="10" xfId="0" applyFont="1" applyFill="1" applyBorder="1" applyAlignment="1">
      <alignment horizontal="left"/>
    </xf>
    <xf numFmtId="164" fontId="20" fillId="5" borderId="10" xfId="0" applyNumberFormat="1" applyFont="1" applyFill="1" applyBorder="1"/>
    <xf numFmtId="0" fontId="20" fillId="5" borderId="10" xfId="0" applyFont="1" applyFill="1" applyBorder="1"/>
    <xf numFmtId="10" fontId="20" fillId="5" borderId="10" xfId="0" applyNumberFormat="1" applyFont="1" applyFill="1" applyBorder="1"/>
    <xf numFmtId="2" fontId="20" fillId="5" borderId="10" xfId="0" applyNumberFormat="1" applyFont="1" applyFill="1" applyBorder="1"/>
    <xf numFmtId="164" fontId="16" fillId="5" borderId="10" xfId="0" applyNumberFormat="1" applyFont="1" applyFill="1" applyBorder="1" applyAlignment="1">
      <alignment horizontal="left"/>
    </xf>
    <xf numFmtId="164" fontId="16" fillId="5" borderId="10" xfId="0" applyNumberFormat="1" applyFont="1" applyFill="1" applyBorder="1"/>
    <xf numFmtId="0" fontId="16" fillId="5" borderId="11" xfId="0" applyFont="1" applyFill="1" applyBorder="1" applyAlignment="1">
      <alignment horizontal="left"/>
    </xf>
    <xf numFmtId="0" fontId="16" fillId="2" borderId="0" xfId="0" applyFont="1" applyFill="1" applyAlignment="1">
      <alignment horizontal="right"/>
    </xf>
    <xf numFmtId="166" fontId="15" fillId="2" borderId="2" xfId="0" applyNumberFormat="1" applyFont="1" applyFill="1" applyBorder="1" applyAlignment="1">
      <alignment horizontal="left"/>
    </xf>
    <xf numFmtId="166" fontId="15" fillId="2" borderId="2" xfId="0" applyNumberFormat="1" applyFont="1" applyFill="1" applyBorder="1"/>
    <xf numFmtId="0" fontId="15" fillId="2" borderId="2" xfId="0" applyFont="1" applyFill="1" applyBorder="1"/>
    <xf numFmtId="0" fontId="0" fillId="2" borderId="0" xfId="0" applyFill="1"/>
    <xf numFmtId="0" fontId="7" fillId="6" borderId="0" xfId="0" applyFont="1" applyFill="1"/>
    <xf numFmtId="166" fontId="13" fillId="6" borderId="1" xfId="0" applyNumberFormat="1" applyFont="1" applyFill="1" applyBorder="1"/>
    <xf numFmtId="167" fontId="13" fillId="6" borderId="2" xfId="0" applyNumberFormat="1" applyFont="1" applyFill="1" applyBorder="1" applyAlignment="1">
      <alignment horizontal="left"/>
    </xf>
    <xf numFmtId="0" fontId="13" fillId="6" borderId="2" xfId="0" applyFont="1" applyFill="1" applyBorder="1"/>
    <xf numFmtId="0" fontId="13" fillId="0" borderId="0" xfId="0" applyFont="1"/>
    <xf numFmtId="0" fontId="13" fillId="6" borderId="0" xfId="0" applyFont="1" applyFill="1"/>
    <xf numFmtId="166" fontId="13" fillId="6" borderId="7" xfId="0" applyNumberFormat="1" applyFont="1" applyFill="1" applyBorder="1"/>
    <xf numFmtId="167" fontId="7" fillId="6" borderId="0" xfId="0" applyNumberFormat="1" applyFont="1" applyFill="1" applyAlignment="1">
      <alignment horizontal="right"/>
    </xf>
    <xf numFmtId="0" fontId="7" fillId="6" borderId="0" xfId="0" applyFont="1" applyFill="1" applyAlignment="1">
      <alignment horizontal="left"/>
    </xf>
    <xf numFmtId="167" fontId="7" fillId="6" borderId="7" xfId="0" applyNumberFormat="1" applyFont="1" applyFill="1" applyBorder="1" applyAlignment="1">
      <alignment horizontal="right"/>
    </xf>
    <xf numFmtId="0" fontId="7" fillId="6" borderId="0" xfId="0" applyFont="1" applyFill="1" applyAlignment="1">
      <alignment horizontal="right"/>
    </xf>
    <xf numFmtId="0" fontId="13" fillId="7" borderId="8" xfId="0" applyFont="1" applyFill="1" applyBorder="1"/>
    <xf numFmtId="3" fontId="13" fillId="2" borderId="0" xfId="0" applyNumberFormat="1" applyFont="1" applyFill="1"/>
    <xf numFmtId="164" fontId="13" fillId="2" borderId="0" xfId="0" applyNumberFormat="1" applyFont="1" applyFill="1"/>
    <xf numFmtId="166" fontId="13" fillId="6" borderId="9" xfId="0" applyNumberFormat="1" applyFont="1" applyFill="1" applyBorder="1"/>
    <xf numFmtId="166" fontId="13" fillId="6" borderId="10" xfId="0" applyNumberFormat="1" applyFont="1" applyFill="1" applyBorder="1" applyAlignment="1">
      <alignment horizontal="fill"/>
    </xf>
    <xf numFmtId="166" fontId="13" fillId="6" borderId="9" xfId="0" applyNumberFormat="1" applyFont="1" applyFill="1" applyBorder="1" applyAlignment="1">
      <alignment horizontal="fill"/>
    </xf>
    <xf numFmtId="0" fontId="13" fillId="7" borderId="11" xfId="0" applyFont="1" applyFill="1" applyBorder="1"/>
    <xf numFmtId="166" fontId="13" fillId="8" borderId="7" xfId="0" applyNumberFormat="1" applyFont="1" applyFill="1" applyBorder="1"/>
    <xf numFmtId="167" fontId="13" fillId="8" borderId="0" xfId="0" quotePrefix="1" applyNumberFormat="1" applyFont="1" applyFill="1" applyAlignment="1">
      <alignment horizontal="left"/>
    </xf>
    <xf numFmtId="167" fontId="13" fillId="8" borderId="0" xfId="0" applyNumberFormat="1" applyFont="1" applyFill="1" applyAlignment="1">
      <alignment horizontal="left"/>
    </xf>
    <xf numFmtId="0" fontId="13" fillId="8" borderId="0" xfId="0" applyFont="1" applyFill="1"/>
    <xf numFmtId="3" fontId="13" fillId="8" borderId="0" xfId="0" applyNumberFormat="1" applyFont="1" applyFill="1"/>
    <xf numFmtId="3" fontId="13" fillId="8" borderId="7" xfId="0" applyNumberFormat="1" applyFont="1" applyFill="1" applyBorder="1"/>
    <xf numFmtId="0" fontId="13" fillId="8" borderId="8" xfId="0" applyFont="1" applyFill="1" applyBorder="1"/>
    <xf numFmtId="167" fontId="13" fillId="2" borderId="0" xfId="0" applyNumberFormat="1" applyFont="1" applyFill="1"/>
    <xf numFmtId="0" fontId="13" fillId="8" borderId="7" xfId="0" applyFont="1" applyFill="1" applyBorder="1"/>
    <xf numFmtId="0" fontId="13" fillId="8" borderId="0" xfId="0" applyFont="1" applyFill="1" applyAlignment="1">
      <alignment horizontal="left"/>
    </xf>
    <xf numFmtId="0" fontId="13" fillId="8" borderId="0" xfId="0" quotePrefix="1" applyFont="1" applyFill="1" applyAlignment="1">
      <alignment horizontal="left"/>
    </xf>
    <xf numFmtId="0" fontId="13" fillId="8" borderId="4" xfId="0" applyFont="1" applyFill="1" applyBorder="1"/>
    <xf numFmtId="0" fontId="13" fillId="8" borderId="5" xfId="0" applyFont="1" applyFill="1" applyBorder="1" applyAlignment="1">
      <alignment horizontal="left"/>
    </xf>
    <xf numFmtId="0" fontId="13" fillId="8" borderId="5" xfId="0" applyFont="1" applyFill="1" applyBorder="1"/>
    <xf numFmtId="3" fontId="13" fillId="8" borderId="5" xfId="0" applyNumberFormat="1" applyFont="1" applyFill="1" applyBorder="1"/>
    <xf numFmtId="3" fontId="13" fillId="8" borderId="4" xfId="0" applyNumberFormat="1" applyFont="1" applyFill="1" applyBorder="1"/>
    <xf numFmtId="0" fontId="13" fillId="8" borderId="6" xfId="0" applyFont="1" applyFill="1" applyBorder="1"/>
    <xf numFmtId="0" fontId="13" fillId="8" borderId="9" xfId="0" applyFont="1" applyFill="1" applyBorder="1" applyAlignment="1">
      <alignment horizontal="right"/>
    </xf>
    <xf numFmtId="0" fontId="13" fillId="8" borderId="10" xfId="0" applyFont="1" applyFill="1" applyBorder="1" applyAlignment="1">
      <alignment horizontal="left"/>
    </xf>
    <xf numFmtId="0" fontId="13" fillId="8" borderId="10" xfId="0" applyFont="1" applyFill="1" applyBorder="1"/>
    <xf numFmtId="3" fontId="13" fillId="8" borderId="10" xfId="0" applyNumberFormat="1" applyFont="1" applyFill="1" applyBorder="1"/>
    <xf numFmtId="3" fontId="13" fillId="8" borderId="9" xfId="0" applyNumberFormat="1" applyFont="1" applyFill="1" applyBorder="1"/>
    <xf numFmtId="0" fontId="13" fillId="8" borderId="11" xfId="0" applyFont="1" applyFill="1" applyBorder="1"/>
    <xf numFmtId="0" fontId="7" fillId="2" borderId="0" xfId="0" applyFont="1" applyFill="1" applyAlignment="1">
      <alignment horizontal="left"/>
    </xf>
    <xf numFmtId="0" fontId="13" fillId="3" borderId="2" xfId="0" applyFont="1" applyFill="1" applyBorder="1"/>
    <xf numFmtId="0" fontId="13" fillId="2" borderId="2" xfId="0" applyFont="1" applyFill="1" applyBorder="1"/>
    <xf numFmtId="0" fontId="13" fillId="3" borderId="3" xfId="0" applyFont="1" applyFill="1" applyBorder="1"/>
    <xf numFmtId="0" fontId="22" fillId="2" borderId="0" xfId="0" applyFont="1" applyFill="1"/>
    <xf numFmtId="0" fontId="12" fillId="3" borderId="7" xfId="0" quotePrefix="1" applyFont="1" applyFill="1" applyBorder="1" applyAlignment="1">
      <alignment horizontal="left"/>
    </xf>
    <xf numFmtId="0" fontId="23" fillId="3" borderId="0" xfId="0" applyFont="1" applyFill="1" applyAlignment="1">
      <alignment horizontal="centerContinuous"/>
    </xf>
    <xf numFmtId="0" fontId="23" fillId="3" borderId="0" xfId="0" quotePrefix="1" applyFont="1" applyFill="1" applyAlignment="1">
      <alignment horizontal="centerContinuous"/>
    </xf>
    <xf numFmtId="0" fontId="23" fillId="2" borderId="0" xfId="0" applyFont="1" applyFill="1" applyAlignment="1">
      <alignment horizontal="centerContinuous"/>
    </xf>
    <xf numFmtId="0" fontId="23" fillId="3" borderId="8" xfId="0" applyFont="1" applyFill="1" applyBorder="1" applyAlignment="1">
      <alignment horizontal="centerContinuous"/>
    </xf>
    <xf numFmtId="0" fontId="14" fillId="2" borderId="0" xfId="0" applyFont="1" applyFill="1" applyAlignment="1">
      <alignment horizontal="left"/>
    </xf>
    <xf numFmtId="0" fontId="7" fillId="4" borderId="12" xfId="0" applyFont="1" applyFill="1" applyBorder="1" applyAlignment="1">
      <alignment horizontal="left"/>
    </xf>
    <xf numFmtId="0" fontId="7" fillId="4" borderId="13" xfId="0" applyFont="1" applyFill="1" applyBorder="1" applyAlignment="1">
      <alignment horizontal="centerContinuous"/>
    </xf>
    <xf numFmtId="0" fontId="7" fillId="4" borderId="13" xfId="0" quotePrefix="1" applyFont="1" applyFill="1" applyBorder="1" applyAlignment="1">
      <alignment horizontal="centerContinuous"/>
    </xf>
    <xf numFmtId="0" fontId="7" fillId="4" borderId="14" xfId="0" applyFont="1" applyFill="1" applyBorder="1" applyAlignment="1">
      <alignment horizontal="centerContinuous"/>
    </xf>
    <xf numFmtId="0" fontId="24" fillId="2" borderId="0" xfId="0" applyFont="1" applyFill="1"/>
    <xf numFmtId="0" fontId="24" fillId="2" borderId="0" xfId="0" applyFont="1" applyFill="1" applyAlignment="1">
      <alignment horizontal="left"/>
    </xf>
    <xf numFmtId="0" fontId="25" fillId="2" borderId="0" xfId="0" applyFont="1" applyFill="1" applyAlignment="1">
      <alignment horizontal="right"/>
    </xf>
    <xf numFmtId="0" fontId="16" fillId="5" borderId="0" xfId="0" applyFont="1" applyFill="1" applyAlignment="1">
      <alignment horizontal="left"/>
    </xf>
    <xf numFmtId="0" fontId="15" fillId="5" borderId="8" xfId="0" applyFont="1" applyFill="1" applyBorder="1"/>
    <xf numFmtId="0" fontId="26" fillId="2" borderId="0" xfId="0" applyFont="1" applyFill="1"/>
    <xf numFmtId="0" fontId="15" fillId="0" borderId="0" xfId="0" applyFont="1"/>
    <xf numFmtId="10" fontId="16" fillId="5" borderId="0" xfId="0" applyNumberFormat="1" applyFont="1" applyFill="1"/>
    <xf numFmtId="0" fontId="20" fillId="5" borderId="8" xfId="0" applyFont="1" applyFill="1" applyBorder="1"/>
    <xf numFmtId="0" fontId="27" fillId="2" borderId="0" xfId="0" applyFont="1" applyFill="1" applyAlignment="1">
      <alignment horizontal="right"/>
    </xf>
    <xf numFmtId="0" fontId="28" fillId="2" borderId="0" xfId="0" applyFont="1" applyFill="1"/>
    <xf numFmtId="165" fontId="28" fillId="2" borderId="0" xfId="0" applyNumberFormat="1" applyFont="1" applyFill="1"/>
    <xf numFmtId="164" fontId="20" fillId="5" borderId="0" xfId="0" applyNumberFormat="1" applyFont="1" applyFill="1" applyAlignment="1">
      <alignment horizontal="left"/>
    </xf>
    <xf numFmtId="0" fontId="20" fillId="5" borderId="8" xfId="0" applyFont="1" applyFill="1" applyBorder="1" applyAlignment="1">
      <alignment horizontal="left"/>
    </xf>
    <xf numFmtId="164" fontId="15" fillId="5" borderId="0" xfId="0" applyNumberFormat="1" applyFont="1" applyFill="1" applyAlignment="1">
      <alignment horizontal="left"/>
    </xf>
    <xf numFmtId="0" fontId="15" fillId="5" borderId="8" xfId="0" applyFont="1" applyFill="1" applyBorder="1" applyAlignment="1">
      <alignment horizontal="left"/>
    </xf>
    <xf numFmtId="0" fontId="26" fillId="2" borderId="0" xfId="0" applyFont="1" applyFill="1" applyAlignment="1">
      <alignment horizontal="right"/>
    </xf>
    <xf numFmtId="165" fontId="26" fillId="2" borderId="0" xfId="0" applyNumberFormat="1" applyFont="1" applyFill="1"/>
    <xf numFmtId="10" fontId="16" fillId="5" borderId="10" xfId="0" applyNumberFormat="1" applyFont="1" applyFill="1" applyBorder="1"/>
    <xf numFmtId="164" fontId="20" fillId="5" borderId="10" xfId="0" applyNumberFormat="1" applyFont="1" applyFill="1" applyBorder="1" applyAlignment="1">
      <alignment horizontal="left"/>
    </xf>
    <xf numFmtId="0" fontId="20" fillId="5" borderId="11" xfId="0" applyFont="1" applyFill="1" applyBorder="1" applyAlignment="1">
      <alignment horizontal="left"/>
    </xf>
    <xf numFmtId="166" fontId="29" fillId="2" borderId="0" xfId="0" applyNumberFormat="1" applyFont="1" applyFill="1" applyAlignment="1">
      <alignment horizontal="left"/>
    </xf>
    <xf numFmtId="166" fontId="29" fillId="2" borderId="0" xfId="0" applyNumberFormat="1" applyFont="1" applyFill="1"/>
    <xf numFmtId="0" fontId="29" fillId="2" borderId="0" xfId="0" applyFont="1" applyFill="1"/>
    <xf numFmtId="0" fontId="28" fillId="2" borderId="0" xfId="0" applyFont="1" applyFill="1" applyAlignment="1">
      <alignment horizontal="right"/>
    </xf>
    <xf numFmtId="166" fontId="13" fillId="9" borderId="15" xfId="0" applyNumberFormat="1" applyFont="1" applyFill="1" applyBorder="1"/>
    <xf numFmtId="167" fontId="13" fillId="9" borderId="16" xfId="0" applyNumberFormat="1" applyFont="1" applyFill="1" applyBorder="1" applyAlignment="1">
      <alignment horizontal="left"/>
    </xf>
    <xf numFmtId="0" fontId="13" fillId="9" borderId="16" xfId="0" applyFont="1" applyFill="1" applyBorder="1"/>
    <xf numFmtId="167" fontId="7" fillId="9" borderId="16" xfId="0" applyNumberFormat="1" applyFont="1" applyFill="1" applyBorder="1" applyAlignment="1">
      <alignment horizontal="centerContinuous"/>
    </xf>
    <xf numFmtId="0" fontId="7" fillId="9" borderId="16" xfId="0" applyFont="1" applyFill="1" applyBorder="1" applyAlignment="1">
      <alignment horizontal="centerContinuous"/>
    </xf>
    <xf numFmtId="0" fontId="7" fillId="9" borderId="17" xfId="0" applyFont="1" applyFill="1" applyBorder="1" applyAlignment="1">
      <alignment horizontal="centerContinuous"/>
    </xf>
    <xf numFmtId="0" fontId="13" fillId="9" borderId="16" xfId="0" applyFont="1" applyFill="1" applyBorder="1" applyAlignment="1">
      <alignment horizontal="centerContinuous"/>
    </xf>
    <xf numFmtId="0" fontId="13" fillId="9" borderId="18" xfId="0" applyFont="1" applyFill="1" applyBorder="1"/>
    <xf numFmtId="164" fontId="18" fillId="2" borderId="0" xfId="0" applyNumberFormat="1" applyFont="1" applyFill="1"/>
    <xf numFmtId="0" fontId="7" fillId="9" borderId="0" xfId="0" applyFont="1" applyFill="1" applyAlignment="1">
      <alignment horizontal="left"/>
    </xf>
    <xf numFmtId="0" fontId="7" fillId="9" borderId="0" xfId="0" applyFont="1" applyFill="1"/>
    <xf numFmtId="167" fontId="7" fillId="9" borderId="0" xfId="0" applyNumberFormat="1" applyFont="1" applyFill="1" applyAlignment="1">
      <alignment horizontal="right"/>
    </xf>
    <xf numFmtId="167" fontId="7" fillId="9" borderId="7" xfId="0" applyNumberFormat="1" applyFont="1" applyFill="1" applyBorder="1" applyAlignment="1">
      <alignment horizontal="right"/>
    </xf>
    <xf numFmtId="0" fontId="7" fillId="9" borderId="0" xfId="0" applyFont="1" applyFill="1" applyAlignment="1">
      <alignment horizontal="right"/>
    </xf>
    <xf numFmtId="0" fontId="13" fillId="9" borderId="20" xfId="0" applyFont="1" applyFill="1" applyBorder="1"/>
    <xf numFmtId="166" fontId="13" fillId="9" borderId="21" xfId="0" applyNumberFormat="1" applyFont="1" applyFill="1" applyBorder="1"/>
    <xf numFmtId="166" fontId="13" fillId="9" borderId="10" xfId="0" applyNumberFormat="1" applyFont="1" applyFill="1" applyBorder="1" applyAlignment="1">
      <alignment horizontal="fill"/>
    </xf>
    <xf numFmtId="166" fontId="13" fillId="9" borderId="9" xfId="0" applyNumberFormat="1" applyFont="1" applyFill="1" applyBorder="1" applyAlignment="1">
      <alignment horizontal="fill"/>
    </xf>
    <xf numFmtId="0" fontId="13" fillId="9" borderId="22" xfId="0" applyFont="1" applyFill="1" applyBorder="1"/>
    <xf numFmtId="166" fontId="13" fillId="8" borderId="19" xfId="0" applyNumberFormat="1" applyFont="1" applyFill="1" applyBorder="1"/>
    <xf numFmtId="0" fontId="13" fillId="8" borderId="20" xfId="0" applyFont="1" applyFill="1" applyBorder="1"/>
    <xf numFmtId="167" fontId="18" fillId="2" borderId="0" xfId="0" applyNumberFormat="1" applyFont="1" applyFill="1"/>
    <xf numFmtId="167" fontId="13" fillId="8" borderId="19" xfId="0" applyNumberFormat="1" applyFont="1" applyFill="1" applyBorder="1" applyAlignment="1">
      <alignment horizontal="left"/>
    </xf>
    <xf numFmtId="167" fontId="30" fillId="8" borderId="0" xfId="0" quotePrefix="1" applyNumberFormat="1" applyFont="1" applyFill="1" applyAlignment="1">
      <alignment horizontal="left"/>
    </xf>
    <xf numFmtId="0" fontId="30" fillId="8" borderId="0" xfId="0" applyFont="1" applyFill="1"/>
    <xf numFmtId="3" fontId="31" fillId="8" borderId="0" xfId="0" applyNumberFormat="1" applyFont="1" applyFill="1"/>
    <xf numFmtId="3" fontId="18" fillId="2" borderId="0" xfId="0" applyNumberFormat="1" applyFont="1" applyFill="1"/>
    <xf numFmtId="168" fontId="32" fillId="8" borderId="0" xfId="1" applyNumberFormat="1" applyFont="1" applyFill="1"/>
    <xf numFmtId="0" fontId="30" fillId="8" borderId="0" xfId="0" quotePrefix="1" applyFont="1" applyFill="1" applyAlignment="1">
      <alignment horizontal="left"/>
    </xf>
    <xf numFmtId="0" fontId="13" fillId="8" borderId="19" xfId="0" applyFont="1" applyFill="1" applyBorder="1"/>
    <xf numFmtId="0" fontId="30" fillId="8" borderId="0" xfId="0" applyFont="1" applyFill="1" applyAlignment="1">
      <alignment horizontal="left"/>
    </xf>
    <xf numFmtId="3" fontId="30" fillId="2" borderId="0" xfId="0" applyNumberFormat="1" applyFont="1" applyFill="1"/>
    <xf numFmtId="0" fontId="13" fillId="8" borderId="19" xfId="0" applyFont="1" applyFill="1" applyBorder="1" applyAlignment="1">
      <alignment horizontal="left"/>
    </xf>
    <xf numFmtId="0" fontId="7" fillId="8" borderId="19" xfId="0" applyFont="1" applyFill="1" applyBorder="1" applyAlignment="1">
      <alignment horizontal="left"/>
    </xf>
    <xf numFmtId="0" fontId="13" fillId="8" borderId="23" xfId="0" applyFont="1" applyFill="1" applyBorder="1" applyAlignment="1">
      <alignment horizontal="right"/>
    </xf>
    <xf numFmtId="0" fontId="13" fillId="8" borderId="24" xfId="0" applyFont="1" applyFill="1" applyBorder="1" applyAlignment="1">
      <alignment horizontal="left"/>
    </xf>
    <xf numFmtId="0" fontId="13" fillId="8" borderId="24" xfId="0" applyFont="1" applyFill="1" applyBorder="1"/>
    <xf numFmtId="3" fontId="13" fillId="8" borderId="24" xfId="0" applyNumberFormat="1" applyFont="1" applyFill="1" applyBorder="1"/>
    <xf numFmtId="3" fontId="13" fillId="8" borderId="25" xfId="0" applyNumberFormat="1" applyFont="1" applyFill="1" applyBorder="1"/>
    <xf numFmtId="0" fontId="13" fillId="8" borderId="26" xfId="0" applyFont="1" applyFill="1" applyBorder="1"/>
    <xf numFmtId="0" fontId="13" fillId="8" borderId="1" xfId="0" applyFont="1" applyFill="1" applyBorder="1"/>
    <xf numFmtId="0" fontId="13" fillId="8" borderId="2" xfId="0" applyFont="1" applyFill="1" applyBorder="1"/>
    <xf numFmtId="0" fontId="13" fillId="8" borderId="3" xfId="0" applyFont="1" applyFill="1" applyBorder="1"/>
    <xf numFmtId="8" fontId="13" fillId="8" borderId="0" xfId="0" applyNumberFormat="1" applyFont="1" applyFill="1"/>
    <xf numFmtId="8" fontId="13" fillId="8" borderId="8" xfId="0" applyNumberFormat="1" applyFont="1" applyFill="1" applyBorder="1"/>
    <xf numFmtId="0" fontId="13" fillId="8" borderId="9" xfId="0" applyFont="1" applyFill="1" applyBorder="1"/>
    <xf numFmtId="8" fontId="13" fillId="8" borderId="10" xfId="0" applyNumberFormat="1" applyFont="1" applyFill="1" applyBorder="1"/>
    <xf numFmtId="8" fontId="13" fillId="8" borderId="11" xfId="0" applyNumberFormat="1" applyFont="1" applyFill="1" applyBorder="1"/>
    <xf numFmtId="0" fontId="13" fillId="2" borderId="0" xfId="0" quotePrefix="1" applyFont="1" applyFill="1"/>
    <xf numFmtId="0" fontId="15" fillId="2" borderId="0" xfId="2" applyFont="1" applyFill="1"/>
    <xf numFmtId="0" fontId="8" fillId="3" borderId="1" xfId="2" applyFont="1" applyFill="1" applyBorder="1"/>
    <xf numFmtId="0" fontId="9" fillId="3" borderId="2" xfId="2" applyFont="1" applyFill="1" applyBorder="1"/>
    <xf numFmtId="0" fontId="9" fillId="2" borderId="2" xfId="2" applyFont="1" applyFill="1" applyBorder="1"/>
    <xf numFmtId="0" fontId="9" fillId="3" borderId="3" xfId="2" applyFont="1" applyFill="1" applyBorder="1"/>
    <xf numFmtId="0" fontId="34" fillId="2" borderId="0" xfId="2" applyFont="1" applyFill="1"/>
    <xf numFmtId="0" fontId="5" fillId="2" borderId="0" xfId="2" applyFill="1"/>
    <xf numFmtId="0" fontId="5" fillId="0" borderId="0" xfId="2"/>
    <xf numFmtId="0" fontId="12" fillId="3" borderId="7" xfId="2" applyFont="1" applyFill="1" applyBorder="1" applyAlignment="1">
      <alignment horizontal="left"/>
    </xf>
    <xf numFmtId="0" fontId="9" fillId="3" borderId="0" xfId="2" applyFont="1" applyFill="1" applyAlignment="1">
      <alignment horizontal="center"/>
    </xf>
    <xf numFmtId="0" fontId="9" fillId="2" borderId="0" xfId="2" applyFont="1" applyFill="1" applyAlignment="1">
      <alignment horizontal="center"/>
    </xf>
    <xf numFmtId="0" fontId="9" fillId="3" borderId="8" xfId="2" applyFont="1" applyFill="1" applyBorder="1" applyAlignment="1">
      <alignment horizontal="center"/>
    </xf>
    <xf numFmtId="0" fontId="16" fillId="2" borderId="0" xfId="2" applyFont="1" applyFill="1"/>
    <xf numFmtId="0" fontId="15" fillId="10" borderId="7" xfId="2" applyFont="1" applyFill="1" applyBorder="1"/>
    <xf numFmtId="0" fontId="15" fillId="10" borderId="0" xfId="2" applyFont="1" applyFill="1"/>
    <xf numFmtId="0" fontId="16" fillId="10" borderId="0" xfId="2" applyFont="1" applyFill="1" applyAlignment="1">
      <alignment horizontal="left"/>
    </xf>
    <xf numFmtId="0" fontId="9" fillId="10" borderId="0" xfId="2" applyFont="1" applyFill="1"/>
    <xf numFmtId="0" fontId="15" fillId="10" borderId="8" xfId="2" applyFont="1" applyFill="1" applyBorder="1"/>
    <xf numFmtId="0" fontId="15" fillId="10" borderId="7" xfId="2" applyFont="1" applyFill="1" applyBorder="1" applyAlignment="1">
      <alignment horizontal="left"/>
    </xf>
    <xf numFmtId="0" fontId="15" fillId="10" borderId="0" xfId="2" applyFont="1" applyFill="1" applyAlignment="1">
      <alignment horizontal="left"/>
    </xf>
    <xf numFmtId="0" fontId="16" fillId="10" borderId="0" xfId="2" applyFont="1" applyFill="1"/>
    <xf numFmtId="0" fontId="5" fillId="10" borderId="0" xfId="2" applyFill="1"/>
    <xf numFmtId="10" fontId="16" fillId="10" borderId="0" xfId="2" applyNumberFormat="1" applyFont="1" applyFill="1"/>
    <xf numFmtId="0" fontId="20" fillId="10" borderId="0" xfId="2" applyFont="1" applyFill="1"/>
    <xf numFmtId="164" fontId="20" fillId="10" borderId="0" xfId="2" applyNumberFormat="1" applyFont="1" applyFill="1"/>
    <xf numFmtId="0" fontId="20" fillId="10" borderId="0" xfId="2" applyFont="1" applyFill="1" applyAlignment="1">
      <alignment horizontal="left"/>
    </xf>
    <xf numFmtId="10" fontId="20" fillId="10" borderId="0" xfId="2" applyNumberFormat="1" applyFont="1" applyFill="1" applyAlignment="1">
      <alignment horizontal="right"/>
    </xf>
    <xf numFmtId="166" fontId="15" fillId="10" borderId="7" xfId="2" applyNumberFormat="1" applyFont="1" applyFill="1" applyBorder="1" applyAlignment="1">
      <alignment horizontal="left"/>
    </xf>
    <xf numFmtId="164" fontId="15" fillId="10" borderId="0" xfId="2" applyNumberFormat="1" applyFont="1" applyFill="1"/>
    <xf numFmtId="166" fontId="15" fillId="10" borderId="0" xfId="2" applyNumberFormat="1" applyFont="1" applyFill="1"/>
    <xf numFmtId="0" fontId="35" fillId="2" borderId="7" xfId="2" applyFont="1" applyFill="1" applyBorder="1" applyAlignment="1">
      <alignment horizontal="left"/>
    </xf>
    <xf numFmtId="0" fontId="35" fillId="2" borderId="0" xfId="2" applyFont="1" applyFill="1"/>
    <xf numFmtId="0" fontId="36" fillId="2" borderId="0" xfId="2" applyFont="1" applyFill="1" applyAlignment="1">
      <alignment horizontal="right"/>
    </xf>
    <xf numFmtId="166" fontId="15" fillId="10" borderId="9" xfId="2" applyNumberFormat="1" applyFont="1" applyFill="1" applyBorder="1"/>
    <xf numFmtId="0" fontId="16" fillId="10" borderId="10" xfId="2" applyFont="1" applyFill="1" applyBorder="1"/>
    <xf numFmtId="0" fontId="5" fillId="10" borderId="10" xfId="2" applyFill="1" applyBorder="1"/>
    <xf numFmtId="10" fontId="16" fillId="10" borderId="10" xfId="2" applyNumberFormat="1" applyFont="1" applyFill="1" applyBorder="1"/>
    <xf numFmtId="164" fontId="20" fillId="10" borderId="10" xfId="2" applyNumberFormat="1" applyFont="1" applyFill="1" applyBorder="1"/>
    <xf numFmtId="0" fontId="20" fillId="10" borderId="10" xfId="2" applyFont="1" applyFill="1" applyBorder="1" applyAlignment="1">
      <alignment horizontal="left"/>
    </xf>
    <xf numFmtId="0" fontId="20" fillId="10" borderId="10" xfId="2" applyFont="1" applyFill="1" applyBorder="1"/>
    <xf numFmtId="166" fontId="15" fillId="10" borderId="10" xfId="2" applyNumberFormat="1" applyFont="1" applyFill="1" applyBorder="1"/>
    <xf numFmtId="0" fontId="15" fillId="10" borderId="10" xfId="2" applyFont="1" applyFill="1" applyBorder="1"/>
    <xf numFmtId="0" fontId="15" fillId="10" borderId="11" xfId="2" applyFont="1" applyFill="1" applyBorder="1"/>
    <xf numFmtId="0" fontId="26" fillId="2" borderId="7" xfId="2" applyFont="1" applyFill="1" applyBorder="1"/>
    <xf numFmtId="0" fontId="26" fillId="2" borderId="0" xfId="2" applyFont="1" applyFill="1"/>
    <xf numFmtId="0" fontId="20" fillId="2" borderId="0" xfId="2" applyFont="1" applyFill="1"/>
    <xf numFmtId="9" fontId="5" fillId="2" borderId="0" xfId="2" applyNumberFormat="1" applyFill="1"/>
    <xf numFmtId="166" fontId="16" fillId="2" borderId="10" xfId="2" applyNumberFormat="1" applyFont="1" applyFill="1" applyBorder="1" applyAlignment="1">
      <alignment horizontal="fill"/>
    </xf>
    <xf numFmtId="165" fontId="26" fillId="2" borderId="0" xfId="2" applyNumberFormat="1" applyFont="1" applyFill="1"/>
    <xf numFmtId="0" fontId="6" fillId="2" borderId="0" xfId="2" applyFont="1" applyFill="1"/>
    <xf numFmtId="165" fontId="20" fillId="2" borderId="0" xfId="2" applyNumberFormat="1" applyFont="1" applyFill="1"/>
    <xf numFmtId="166" fontId="16" fillId="9" borderId="7" xfId="2" applyNumberFormat="1" applyFont="1" applyFill="1" applyBorder="1"/>
    <xf numFmtId="0" fontId="15" fillId="9" borderId="0" xfId="2" applyFont="1" applyFill="1"/>
    <xf numFmtId="167" fontId="15" fillId="9" borderId="0" xfId="2" applyNumberFormat="1" applyFont="1" applyFill="1" applyAlignment="1">
      <alignment horizontal="right"/>
    </xf>
    <xf numFmtId="167" fontId="15" fillId="9" borderId="0" xfId="2" quotePrefix="1" applyNumberFormat="1" applyFont="1" applyFill="1" applyAlignment="1">
      <alignment horizontal="right"/>
    </xf>
    <xf numFmtId="167" fontId="15" fillId="9" borderId="0" xfId="2" applyNumberFormat="1" applyFont="1" applyFill="1" applyAlignment="1">
      <alignment horizontal="right" wrapText="1"/>
    </xf>
    <xf numFmtId="0" fontId="15" fillId="9" borderId="0" xfId="2" applyFont="1" applyFill="1" applyAlignment="1">
      <alignment horizontal="left"/>
    </xf>
    <xf numFmtId="167" fontId="15" fillId="9" borderId="7" xfId="2" applyNumberFormat="1" applyFont="1" applyFill="1" applyBorder="1" applyAlignment="1">
      <alignment horizontal="right"/>
    </xf>
    <xf numFmtId="0" fontId="15" fillId="9" borderId="0" xfId="2" applyFont="1" applyFill="1" applyAlignment="1">
      <alignment horizontal="right"/>
    </xf>
    <xf numFmtId="0" fontId="16" fillId="9" borderId="8" xfId="2" applyFont="1" applyFill="1" applyBorder="1"/>
    <xf numFmtId="166" fontId="16" fillId="9" borderId="9" xfId="2" applyNumberFormat="1" applyFont="1" applyFill="1" applyBorder="1"/>
    <xf numFmtId="166" fontId="16" fillId="9" borderId="10" xfId="2" applyNumberFormat="1" applyFont="1" applyFill="1" applyBorder="1" applyAlignment="1">
      <alignment horizontal="fill"/>
    </xf>
    <xf numFmtId="166" fontId="16" fillId="9" borderId="9" xfId="2" applyNumberFormat="1" applyFont="1" applyFill="1" applyBorder="1" applyAlignment="1">
      <alignment horizontal="fill"/>
    </xf>
    <xf numFmtId="0" fontId="16" fillId="9" borderId="11" xfId="2" applyFont="1" applyFill="1" applyBorder="1"/>
    <xf numFmtId="166" fontId="16" fillId="8" borderId="1" xfId="2" applyNumberFormat="1" applyFont="1" applyFill="1" applyBorder="1" applyAlignment="1">
      <alignment horizontal="fill"/>
    </xf>
    <xf numFmtId="166" fontId="16" fillId="8" borderId="2" xfId="2" applyNumberFormat="1" applyFont="1" applyFill="1" applyBorder="1" applyAlignment="1">
      <alignment horizontal="fill"/>
    </xf>
    <xf numFmtId="166" fontId="16" fillId="8" borderId="3" xfId="2" applyNumberFormat="1" applyFont="1" applyFill="1" applyBorder="1" applyAlignment="1">
      <alignment horizontal="fill"/>
    </xf>
    <xf numFmtId="0" fontId="26" fillId="2" borderId="7" xfId="2" applyFont="1" applyFill="1" applyBorder="1" applyAlignment="1">
      <alignment horizontal="left"/>
    </xf>
    <xf numFmtId="0" fontId="20" fillId="2" borderId="0" xfId="2" applyFont="1" applyFill="1" applyAlignment="1">
      <alignment horizontal="right"/>
    </xf>
    <xf numFmtId="166" fontId="16" fillId="8" borderId="7" xfId="2" applyNumberFormat="1" applyFont="1" applyFill="1" applyBorder="1"/>
    <xf numFmtId="167" fontId="16" fillId="8" borderId="0" xfId="2" applyNumberFormat="1" applyFont="1" applyFill="1" applyAlignment="1">
      <alignment horizontal="left"/>
    </xf>
    <xf numFmtId="1" fontId="13" fillId="8" borderId="0" xfId="2" applyNumberFormat="1" applyFont="1" applyFill="1" applyAlignment="1">
      <alignment horizontal="center"/>
    </xf>
    <xf numFmtId="3" fontId="13" fillId="8" borderId="0" xfId="2" applyNumberFormat="1" applyFont="1" applyFill="1"/>
    <xf numFmtId="3" fontId="13" fillId="8" borderId="8" xfId="2" applyNumberFormat="1" applyFont="1" applyFill="1" applyBorder="1"/>
    <xf numFmtId="0" fontId="16" fillId="8" borderId="8" xfId="2" applyFont="1" applyFill="1" applyBorder="1"/>
    <xf numFmtId="3" fontId="16" fillId="2" borderId="0" xfId="2" applyNumberFormat="1" applyFont="1" applyFill="1"/>
    <xf numFmtId="0" fontId="21" fillId="2" borderId="0" xfId="2" applyFont="1" applyFill="1"/>
    <xf numFmtId="3" fontId="5" fillId="2" borderId="0" xfId="2" applyNumberFormat="1" applyFill="1"/>
    <xf numFmtId="0" fontId="16" fillId="8" borderId="7" xfId="2" applyFont="1" applyFill="1" applyBorder="1"/>
    <xf numFmtId="0" fontId="16" fillId="8" borderId="0" xfId="2" applyFont="1" applyFill="1" applyAlignment="1">
      <alignment horizontal="left"/>
    </xf>
    <xf numFmtId="3" fontId="13" fillId="2" borderId="0" xfId="2" applyNumberFormat="1" applyFont="1" applyFill="1"/>
    <xf numFmtId="167" fontId="16" fillId="2" borderId="0" xfId="2" applyNumberFormat="1" applyFont="1" applyFill="1"/>
    <xf numFmtId="0" fontId="16" fillId="8" borderId="7" xfId="2" quotePrefix="1" applyFont="1" applyFill="1" applyBorder="1"/>
    <xf numFmtId="0" fontId="15" fillId="8" borderId="7" xfId="2" applyFont="1" applyFill="1" applyBorder="1" applyAlignment="1">
      <alignment horizontal="right"/>
    </xf>
    <xf numFmtId="0" fontId="16" fillId="8" borderId="7" xfId="2" applyFont="1" applyFill="1" applyBorder="1" applyAlignment="1">
      <alignment horizontal="left"/>
    </xf>
    <xf numFmtId="0" fontId="5" fillId="8" borderId="7" xfId="2" applyFill="1" applyBorder="1"/>
    <xf numFmtId="0" fontId="26" fillId="8" borderId="7" xfId="2" applyFont="1" applyFill="1" applyBorder="1" applyAlignment="1">
      <alignment horizontal="right"/>
    </xf>
    <xf numFmtId="0" fontId="17" fillId="8" borderId="0" xfId="2" applyFont="1" applyFill="1" applyAlignment="1">
      <alignment horizontal="left"/>
    </xf>
    <xf numFmtId="167" fontId="17" fillId="8" borderId="0" xfId="2" applyNumberFormat="1" applyFont="1" applyFill="1" applyAlignment="1">
      <alignment horizontal="center"/>
    </xf>
    <xf numFmtId="3" fontId="37" fillId="8" borderId="0" xfId="2" applyNumberFormat="1" applyFont="1" applyFill="1"/>
    <xf numFmtId="3" fontId="17" fillId="8" borderId="8" xfId="2" applyNumberFormat="1" applyFont="1" applyFill="1" applyBorder="1"/>
    <xf numFmtId="0" fontId="17" fillId="8" borderId="8" xfId="2" applyFont="1" applyFill="1" applyBorder="1"/>
    <xf numFmtId="0" fontId="15" fillId="8" borderId="9" xfId="2" quotePrefix="1" applyFont="1" applyFill="1" applyBorder="1"/>
    <xf numFmtId="0" fontId="16" fillId="8" borderId="10" xfId="2" applyFont="1" applyFill="1" applyBorder="1" applyAlignment="1">
      <alignment horizontal="left"/>
    </xf>
    <xf numFmtId="167" fontId="16" fillId="8" borderId="10" xfId="2" applyNumberFormat="1" applyFont="1" applyFill="1" applyBorder="1" applyAlignment="1">
      <alignment horizontal="center"/>
    </xf>
    <xf numFmtId="3" fontId="16" fillId="8" borderId="10" xfId="2" applyNumberFormat="1" applyFont="1" applyFill="1" applyBorder="1"/>
    <xf numFmtId="3" fontId="16" fillId="8" borderId="11" xfId="2" applyNumberFormat="1" applyFont="1" applyFill="1" applyBorder="1"/>
    <xf numFmtId="3" fontId="16" fillId="8" borderId="10" xfId="2" quotePrefix="1" applyNumberFormat="1" applyFont="1" applyFill="1" applyBorder="1"/>
    <xf numFmtId="0" fontId="16" fillId="8" borderId="11" xfId="2" applyFont="1" applyFill="1" applyBorder="1"/>
    <xf numFmtId="0" fontId="15" fillId="2" borderId="0" xfId="2" applyFont="1" applyFill="1" applyAlignment="1">
      <alignment horizontal="right"/>
    </xf>
    <xf numFmtId="0" fontId="16" fillId="2" borderId="0" xfId="2" applyFont="1" applyFill="1" applyAlignment="1">
      <alignment horizontal="left"/>
    </xf>
    <xf numFmtId="167" fontId="16" fillId="2" borderId="0" xfId="2" applyNumberFormat="1" applyFont="1" applyFill="1" applyAlignment="1">
      <alignment horizontal="center"/>
    </xf>
    <xf numFmtId="0" fontId="16" fillId="0" borderId="0" xfId="0" applyFont="1"/>
    <xf numFmtId="0" fontId="16" fillId="0" borderId="0" xfId="0" applyFont="1" applyAlignment="1">
      <alignment horizontal="center"/>
    </xf>
    <xf numFmtId="167" fontId="15" fillId="0" borderId="0" xfId="3" applyFont="1"/>
    <xf numFmtId="167" fontId="8" fillId="3" borderId="1" xfId="3" applyFont="1" applyFill="1" applyBorder="1"/>
    <xf numFmtId="167" fontId="8" fillId="3" borderId="2" xfId="3" applyFont="1" applyFill="1" applyBorder="1"/>
    <xf numFmtId="167" fontId="8" fillId="3" borderId="2" xfId="3" quotePrefix="1" applyFont="1" applyFill="1" applyBorder="1"/>
    <xf numFmtId="167" fontId="8" fillId="2" borderId="2" xfId="3" applyFont="1" applyFill="1" applyBorder="1"/>
    <xf numFmtId="167" fontId="17" fillId="2" borderId="0" xfId="3" applyFont="1" applyFill="1"/>
    <xf numFmtId="167" fontId="34" fillId="0" borderId="0" xfId="3" applyFont="1"/>
    <xf numFmtId="167" fontId="12" fillId="3" borderId="4" xfId="3" applyFont="1" applyFill="1" applyBorder="1" applyAlignment="1">
      <alignment horizontal="left"/>
    </xf>
    <xf numFmtId="167" fontId="8" fillId="3" borderId="5" xfId="3" applyFont="1" applyFill="1" applyBorder="1"/>
    <xf numFmtId="167" fontId="8" fillId="3" borderId="5" xfId="3" quotePrefix="1" applyFont="1" applyFill="1" applyBorder="1"/>
    <xf numFmtId="167" fontId="8" fillId="2" borderId="5" xfId="3" applyFont="1" applyFill="1" applyBorder="1"/>
    <xf numFmtId="167" fontId="15" fillId="5" borderId="12" xfId="3" applyFont="1" applyFill="1" applyBorder="1"/>
    <xf numFmtId="167" fontId="15" fillId="10" borderId="13" xfId="3" applyFont="1" applyFill="1" applyBorder="1"/>
    <xf numFmtId="167" fontId="16" fillId="10" borderId="13" xfId="3" applyFont="1" applyFill="1" applyBorder="1" applyAlignment="1">
      <alignment horizontal="left"/>
    </xf>
    <xf numFmtId="167" fontId="15" fillId="5" borderId="13" xfId="3" applyFont="1" applyFill="1" applyBorder="1"/>
    <xf numFmtId="167" fontId="15" fillId="5" borderId="13" xfId="3" applyFont="1" applyFill="1" applyBorder="1" applyAlignment="1">
      <alignment horizontal="left"/>
    </xf>
    <xf numFmtId="167" fontId="16" fillId="5" borderId="13" xfId="3" applyFont="1" applyFill="1" applyBorder="1"/>
    <xf numFmtId="167" fontId="15" fillId="5" borderId="14" xfId="3" applyFont="1" applyFill="1" applyBorder="1"/>
    <xf numFmtId="167" fontId="16" fillId="0" borderId="0" xfId="3" applyFont="1"/>
    <xf numFmtId="167" fontId="15" fillId="5" borderId="7" xfId="3" applyFont="1" applyFill="1" applyBorder="1"/>
    <xf numFmtId="167" fontId="15" fillId="10" borderId="0" xfId="3" applyFont="1" applyFill="1"/>
    <xf numFmtId="167" fontId="15" fillId="10" borderId="0" xfId="3" applyFont="1" applyFill="1" applyAlignment="1">
      <alignment horizontal="left"/>
    </xf>
    <xf numFmtId="167" fontId="15" fillId="5" borderId="0" xfId="3" applyFont="1" applyFill="1"/>
    <xf numFmtId="167" fontId="15" fillId="5" borderId="0" xfId="3" applyFont="1" applyFill="1" applyAlignment="1">
      <alignment horizontal="left"/>
    </xf>
    <xf numFmtId="167" fontId="16" fillId="5" borderId="0" xfId="3" applyFont="1" applyFill="1"/>
    <xf numFmtId="167" fontId="15" fillId="5" borderId="8" xfId="3" applyFont="1" applyFill="1" applyBorder="1"/>
    <xf numFmtId="167" fontId="16" fillId="10" borderId="0" xfId="3" applyFont="1" applyFill="1"/>
    <xf numFmtId="167" fontId="39" fillId="10" borderId="0" xfId="3" applyFill="1"/>
    <xf numFmtId="10" fontId="16" fillId="10" borderId="0" xfId="3" applyNumberFormat="1" applyFont="1" applyFill="1"/>
    <xf numFmtId="167" fontId="20" fillId="10" borderId="0" xfId="3" applyFont="1" applyFill="1"/>
    <xf numFmtId="164" fontId="20" fillId="10" borderId="0" xfId="3" applyNumberFormat="1" applyFont="1" applyFill="1"/>
    <xf numFmtId="167" fontId="16" fillId="2" borderId="0" xfId="3" applyFont="1" applyFill="1"/>
    <xf numFmtId="164" fontId="15" fillId="10" borderId="0" xfId="3" applyNumberFormat="1" applyFont="1" applyFill="1"/>
    <xf numFmtId="166" fontId="15" fillId="5" borderId="9" xfId="3" applyNumberFormat="1" applyFont="1" applyFill="1" applyBorder="1" applyAlignment="1">
      <alignment horizontal="left"/>
    </xf>
    <xf numFmtId="167" fontId="16" fillId="10" borderId="10" xfId="3" applyFont="1" applyFill="1" applyBorder="1"/>
    <xf numFmtId="167" fontId="39" fillId="10" borderId="10" xfId="3" applyFill="1" applyBorder="1"/>
    <xf numFmtId="10" fontId="16" fillId="10" borderId="10" xfId="3" applyNumberFormat="1" applyFont="1" applyFill="1" applyBorder="1"/>
    <xf numFmtId="164" fontId="20" fillId="10" borderId="10" xfId="3" applyNumberFormat="1" applyFont="1" applyFill="1" applyBorder="1"/>
    <xf numFmtId="166" fontId="15" fillId="5" borderId="10" xfId="3" applyNumberFormat="1" applyFont="1" applyFill="1" applyBorder="1"/>
    <xf numFmtId="167" fontId="15" fillId="5" borderId="10" xfId="3" applyFont="1" applyFill="1" applyBorder="1"/>
    <xf numFmtId="167" fontId="15" fillId="5" borderId="11" xfId="3" applyFont="1" applyFill="1" applyBorder="1"/>
    <xf numFmtId="167" fontId="16" fillId="0" borderId="10" xfId="3" applyFont="1" applyBorder="1"/>
    <xf numFmtId="166" fontId="16" fillId="0" borderId="10" xfId="3" applyNumberFormat="1" applyFont="1" applyBorder="1" applyAlignment="1">
      <alignment horizontal="fill"/>
    </xf>
    <xf numFmtId="166" fontId="13" fillId="6" borderId="7" xfId="3" applyNumberFormat="1" applyFont="1" applyFill="1" applyBorder="1"/>
    <xf numFmtId="167" fontId="13" fillId="6" borderId="0" xfId="3" applyFont="1" applyFill="1" applyAlignment="1">
      <alignment horizontal="left"/>
    </xf>
    <xf numFmtId="167" fontId="7" fillId="6" borderId="0" xfId="3" applyFont="1" applyFill="1" applyAlignment="1">
      <alignment horizontal="centerContinuous"/>
    </xf>
    <xf numFmtId="167" fontId="13" fillId="6" borderId="0" xfId="3" applyFont="1" applyFill="1"/>
    <xf numFmtId="167" fontId="7" fillId="6" borderId="7" xfId="3" applyFont="1" applyFill="1" applyBorder="1" applyAlignment="1">
      <alignment horizontal="centerContinuous"/>
    </xf>
    <xf numFmtId="167" fontId="13" fillId="6" borderId="0" xfId="3" applyFont="1" applyFill="1" applyAlignment="1">
      <alignment horizontal="centerContinuous"/>
    </xf>
    <xf numFmtId="167" fontId="13" fillId="6" borderId="8" xfId="3" applyFont="1" applyFill="1" applyBorder="1"/>
    <xf numFmtId="167" fontId="7" fillId="6" borderId="0" xfId="3" applyFont="1" applyFill="1"/>
    <xf numFmtId="167" fontId="7" fillId="6" borderId="0" xfId="3" applyFont="1" applyFill="1" applyAlignment="1">
      <alignment horizontal="right"/>
    </xf>
    <xf numFmtId="167" fontId="7" fillId="6" borderId="0" xfId="3" quotePrefix="1" applyFont="1" applyFill="1" applyAlignment="1">
      <alignment horizontal="right"/>
    </xf>
    <xf numFmtId="167" fontId="7" fillId="6" borderId="0" xfId="3" applyFont="1" applyFill="1" applyAlignment="1">
      <alignment horizontal="left"/>
    </xf>
    <xf numFmtId="167" fontId="7" fillId="6" borderId="7" xfId="3" applyFont="1" applyFill="1" applyBorder="1" applyAlignment="1">
      <alignment horizontal="right"/>
    </xf>
    <xf numFmtId="166" fontId="13" fillId="6" borderId="9" xfId="3" applyNumberFormat="1" applyFont="1" applyFill="1" applyBorder="1"/>
    <xf numFmtId="166" fontId="13" fillId="6" borderId="10" xfId="3" applyNumberFormat="1" applyFont="1" applyFill="1" applyBorder="1" applyAlignment="1">
      <alignment horizontal="fill"/>
    </xf>
    <xf numFmtId="166" fontId="13" fillId="6" borderId="9" xfId="3" applyNumberFormat="1" applyFont="1" applyFill="1" applyBorder="1" applyAlignment="1">
      <alignment horizontal="fill"/>
    </xf>
    <xf numFmtId="167" fontId="13" fillId="6" borderId="11" xfId="3" applyFont="1" applyFill="1" applyBorder="1"/>
    <xf numFmtId="166" fontId="13" fillId="8" borderId="1" xfId="3" applyNumberFormat="1" applyFont="1" applyFill="1" applyBorder="1" applyAlignment="1">
      <alignment horizontal="fill"/>
    </xf>
    <xf numFmtId="166" fontId="13" fillId="8" borderId="2" xfId="3" applyNumberFormat="1" applyFont="1" applyFill="1" applyBorder="1" applyAlignment="1">
      <alignment horizontal="fill"/>
    </xf>
    <xf numFmtId="166" fontId="13" fillId="8" borderId="3" xfId="3" applyNumberFormat="1" applyFont="1" applyFill="1" applyBorder="1" applyAlignment="1">
      <alignment horizontal="fill"/>
    </xf>
    <xf numFmtId="167" fontId="13" fillId="0" borderId="0" xfId="3" applyFont="1"/>
    <xf numFmtId="167" fontId="7" fillId="0" borderId="0" xfId="3" applyFont="1" applyAlignment="1">
      <alignment horizontal="centerContinuous"/>
    </xf>
    <xf numFmtId="1" fontId="13" fillId="8" borderId="0" xfId="3" applyNumberFormat="1" applyFont="1" applyFill="1" applyAlignment="1">
      <alignment horizontal="center"/>
    </xf>
    <xf numFmtId="169" fontId="13" fillId="8" borderId="0" xfId="3" applyNumberFormat="1" applyFont="1" applyFill="1"/>
    <xf numFmtId="167" fontId="7" fillId="8" borderId="0" xfId="3" applyFont="1" applyFill="1"/>
    <xf numFmtId="169" fontId="13" fillId="8" borderId="8" xfId="3" applyNumberFormat="1" applyFont="1" applyFill="1" applyBorder="1"/>
    <xf numFmtId="167" fontId="13" fillId="8" borderId="8" xfId="3" applyFont="1" applyFill="1" applyBorder="1"/>
    <xf numFmtId="169" fontId="13" fillId="2" borderId="0" xfId="3" applyNumberFormat="1" applyFont="1" applyFill="1"/>
    <xf numFmtId="164" fontId="16" fillId="2" borderId="0" xfId="3" applyNumberFormat="1" applyFont="1" applyFill="1"/>
    <xf numFmtId="167" fontId="13" fillId="8" borderId="7" xfId="3" applyFont="1" applyFill="1" applyBorder="1"/>
    <xf numFmtId="167" fontId="13" fillId="8" borderId="0" xfId="3" applyFont="1" applyFill="1" applyAlignment="1">
      <alignment horizontal="left"/>
    </xf>
    <xf numFmtId="167" fontId="13" fillId="8" borderId="4" xfId="3" applyFont="1" applyFill="1" applyBorder="1"/>
    <xf numFmtId="167" fontId="13" fillId="8" borderId="5" xfId="3" applyFont="1" applyFill="1" applyBorder="1" applyAlignment="1">
      <alignment horizontal="left"/>
    </xf>
    <xf numFmtId="1" fontId="13" fillId="8" borderId="5" xfId="3" applyNumberFormat="1" applyFont="1" applyFill="1" applyBorder="1" applyAlignment="1">
      <alignment horizontal="center"/>
    </xf>
    <xf numFmtId="169" fontId="13" fillId="8" borderId="5" xfId="3" applyNumberFormat="1" applyFont="1" applyFill="1" applyBorder="1"/>
    <xf numFmtId="167" fontId="7" fillId="8" borderId="5" xfId="3" applyFont="1" applyFill="1" applyBorder="1"/>
    <xf numFmtId="169" fontId="13" fillId="8" borderId="6" xfId="3" applyNumberFormat="1" applyFont="1" applyFill="1" applyBorder="1"/>
    <xf numFmtId="167" fontId="13" fillId="8" borderId="6" xfId="3" applyFont="1" applyFill="1" applyBorder="1"/>
    <xf numFmtId="169" fontId="18" fillId="2" borderId="0" xfId="3" applyNumberFormat="1" applyFont="1" applyFill="1"/>
    <xf numFmtId="167" fontId="13" fillId="8" borderId="0" xfId="3" applyFont="1" applyFill="1" applyAlignment="1">
      <alignment horizontal="center"/>
    </xf>
    <xf numFmtId="167" fontId="13" fillId="8" borderId="7" xfId="3" quotePrefix="1" applyFont="1" applyFill="1" applyBorder="1"/>
    <xf numFmtId="169" fontId="13" fillId="8" borderId="0" xfId="3" quotePrefix="1" applyNumberFormat="1" applyFont="1" applyFill="1"/>
    <xf numFmtId="167" fontId="13" fillId="8" borderId="7" xfId="3" applyFont="1" applyFill="1" applyBorder="1" applyAlignment="1">
      <alignment horizontal="left"/>
    </xf>
    <xf numFmtId="167" fontId="41" fillId="8" borderId="7" xfId="3" applyFont="1" applyFill="1" applyBorder="1"/>
    <xf numFmtId="167" fontId="7" fillId="8" borderId="7" xfId="3" applyFont="1" applyFill="1" applyBorder="1" applyAlignment="1">
      <alignment horizontal="right"/>
    </xf>
    <xf numFmtId="3" fontId="13" fillId="8" borderId="0" xfId="3" applyNumberFormat="1" applyFont="1" applyFill="1"/>
    <xf numFmtId="3" fontId="13" fillId="8" borderId="8" xfId="3" applyNumberFormat="1" applyFont="1" applyFill="1" applyBorder="1"/>
    <xf numFmtId="168" fontId="17" fillId="2" borderId="0" xfId="1" applyNumberFormat="1" applyFont="1" applyFill="1" applyBorder="1"/>
    <xf numFmtId="167" fontId="7" fillId="8" borderId="9" xfId="3" quotePrefix="1" applyFont="1" applyFill="1" applyBorder="1"/>
    <xf numFmtId="167" fontId="13" fillId="8" borderId="10" xfId="3" applyFont="1" applyFill="1" applyBorder="1" applyAlignment="1">
      <alignment horizontal="left"/>
    </xf>
    <xf numFmtId="167" fontId="13" fillId="8" borderId="10" xfId="3" applyFont="1" applyFill="1" applyBorder="1" applyAlignment="1">
      <alignment horizontal="center"/>
    </xf>
    <xf numFmtId="3" fontId="13" fillId="8" borderId="10" xfId="3" applyNumberFormat="1" applyFont="1" applyFill="1" applyBorder="1"/>
    <xf numFmtId="3" fontId="13" fillId="8" borderId="11" xfId="3" applyNumberFormat="1" applyFont="1" applyFill="1" applyBorder="1"/>
    <xf numFmtId="3" fontId="13" fillId="8" borderId="10" xfId="3" quotePrefix="1" applyNumberFormat="1" applyFont="1" applyFill="1" applyBorder="1"/>
    <xf numFmtId="167" fontId="13" fillId="8" borderId="11" xfId="3" applyFont="1" applyFill="1" applyBorder="1"/>
    <xf numFmtId="167" fontId="15" fillId="0" borderId="0" xfId="3" applyFont="1" applyAlignment="1">
      <alignment horizontal="right"/>
    </xf>
    <xf numFmtId="167" fontId="16" fillId="0" borderId="0" xfId="3" applyFont="1" applyAlignment="1">
      <alignment horizontal="left"/>
    </xf>
    <xf numFmtId="167" fontId="16" fillId="0" borderId="0" xfId="3" applyFont="1" applyAlignment="1">
      <alignment horizontal="center"/>
    </xf>
    <xf numFmtId="3" fontId="16" fillId="0" borderId="0" xfId="3" applyNumberFormat="1" applyFont="1"/>
    <xf numFmtId="167" fontId="16" fillId="8" borderId="1" xfId="3" applyFont="1" applyFill="1" applyBorder="1"/>
    <xf numFmtId="167" fontId="16" fillId="8" borderId="2" xfId="3" applyFont="1" applyFill="1" applyBorder="1" applyAlignment="1">
      <alignment horizontal="left"/>
    </xf>
    <xf numFmtId="1" fontId="16" fillId="8" borderId="2" xfId="3" applyNumberFormat="1" applyFont="1" applyFill="1" applyBorder="1" applyAlignment="1">
      <alignment horizontal="center"/>
    </xf>
    <xf numFmtId="3" fontId="16" fillId="8" borderId="2" xfId="3" applyNumberFormat="1" applyFont="1" applyFill="1" applyBorder="1"/>
    <xf numFmtId="3" fontId="16" fillId="8" borderId="3" xfId="3" applyNumberFormat="1" applyFont="1" applyFill="1" applyBorder="1"/>
    <xf numFmtId="167" fontId="16" fillId="8" borderId="7" xfId="3" applyFont="1" applyFill="1" applyBorder="1"/>
    <xf numFmtId="167" fontId="16" fillId="8" borderId="0" xfId="3" applyFont="1" applyFill="1" applyAlignment="1">
      <alignment horizontal="left"/>
    </xf>
    <xf numFmtId="1" fontId="16" fillId="8" borderId="0" xfId="3" applyNumberFormat="1" applyFont="1" applyFill="1" applyAlignment="1">
      <alignment horizontal="center"/>
    </xf>
    <xf numFmtId="3" fontId="16" fillId="8" borderId="0" xfId="3" applyNumberFormat="1" applyFont="1" applyFill="1"/>
    <xf numFmtId="3" fontId="16" fillId="8" borderId="8" xfId="3" applyNumberFormat="1" applyFont="1" applyFill="1" applyBorder="1"/>
    <xf numFmtId="169" fontId="16" fillId="8" borderId="0" xfId="3" applyNumberFormat="1" applyFont="1" applyFill="1"/>
    <xf numFmtId="167" fontId="42" fillId="8" borderId="0" xfId="3" applyFont="1" applyFill="1"/>
    <xf numFmtId="167" fontId="16" fillId="8" borderId="0" xfId="3" applyFont="1" applyFill="1"/>
    <xf numFmtId="167" fontId="42" fillId="8" borderId="8" xfId="3" applyFont="1" applyFill="1" applyBorder="1"/>
    <xf numFmtId="167" fontId="16" fillId="8" borderId="7" xfId="3" applyFont="1" applyFill="1" applyBorder="1" applyAlignment="1">
      <alignment horizontal="left"/>
    </xf>
    <xf numFmtId="167" fontId="16" fillId="8" borderId="9" xfId="3" applyFont="1" applyFill="1" applyBorder="1" applyAlignment="1">
      <alignment horizontal="left"/>
    </xf>
    <xf numFmtId="167" fontId="16" fillId="8" borderId="10" xfId="3" applyFont="1" applyFill="1" applyBorder="1"/>
    <xf numFmtId="169" fontId="16" fillId="8" borderId="10" xfId="3" applyNumberFormat="1" applyFont="1" applyFill="1" applyBorder="1"/>
    <xf numFmtId="167" fontId="42" fillId="8" borderId="10" xfId="3" applyFont="1" applyFill="1" applyBorder="1"/>
    <xf numFmtId="3" fontId="16" fillId="8" borderId="11" xfId="3" applyNumberFormat="1" applyFont="1" applyFill="1" applyBorder="1"/>
    <xf numFmtId="0" fontId="38" fillId="11" borderId="0" xfId="0" applyFont="1" applyFill="1" applyAlignment="1">
      <alignment horizontal="center" vertical="center" wrapText="1"/>
    </xf>
    <xf numFmtId="10" fontId="16" fillId="0" borderId="0" xfId="3" applyNumberFormat="1" applyFont="1" applyAlignment="1">
      <alignment horizontal="center"/>
    </xf>
    <xf numFmtId="10" fontId="16" fillId="0" borderId="0" xfId="0" applyNumberFormat="1" applyFont="1" applyAlignment="1">
      <alignment horizontal="center"/>
    </xf>
    <xf numFmtId="169" fontId="16" fillId="0" borderId="0" xfId="0" applyNumberFormat="1" applyFont="1" applyAlignment="1">
      <alignment horizontal="center"/>
    </xf>
    <xf numFmtId="10" fontId="16" fillId="12" borderId="0" xfId="0" applyNumberFormat="1" applyFont="1" applyFill="1" applyAlignment="1">
      <alignment horizontal="center"/>
    </xf>
    <xf numFmtId="0" fontId="16" fillId="0" borderId="0" xfId="0" applyFont="1" applyAlignment="1">
      <alignment wrapText="1"/>
    </xf>
    <xf numFmtId="1" fontId="16" fillId="0" borderId="0" xfId="0" applyNumberFormat="1" applyFont="1" applyAlignment="1">
      <alignment horizontal="center" wrapText="1"/>
    </xf>
    <xf numFmtId="0" fontId="16" fillId="0" borderId="0" xfId="0" applyFont="1" applyAlignment="1">
      <alignment horizontal="center" wrapText="1"/>
    </xf>
    <xf numFmtId="169" fontId="16" fillId="0" borderId="0" xfId="0" applyNumberFormat="1" applyFont="1" applyAlignment="1">
      <alignment horizontal="center" wrapText="1"/>
    </xf>
    <xf numFmtId="169" fontId="16" fillId="0" borderId="0" xfId="3" applyNumberFormat="1" applyFont="1" applyAlignment="1">
      <alignment horizontal="center" wrapText="1"/>
    </xf>
    <xf numFmtId="17" fontId="16" fillId="0" borderId="0" xfId="0" quotePrefix="1" applyNumberFormat="1" applyFont="1" applyAlignment="1">
      <alignment horizontal="center"/>
    </xf>
    <xf numFmtId="0" fontId="44" fillId="0" borderId="33" xfId="4" applyFont="1" applyFill="1" applyBorder="1"/>
    <xf numFmtId="0" fontId="44" fillId="0" borderId="36" xfId="4" applyFont="1" applyFill="1" applyBorder="1"/>
    <xf numFmtId="2" fontId="16" fillId="0" borderId="0" xfId="0" applyNumberFormat="1" applyFont="1" applyAlignment="1">
      <alignment horizontal="center"/>
    </xf>
    <xf numFmtId="2" fontId="16" fillId="0" borderId="0" xfId="0" applyNumberFormat="1" applyFont="1" applyAlignment="1">
      <alignment horizontal="center" wrapText="1"/>
    </xf>
    <xf numFmtId="0" fontId="47" fillId="0" borderId="0" xfId="5" applyFont="1"/>
    <xf numFmtId="0" fontId="21" fillId="0" borderId="0" xfId="5" applyFont="1"/>
    <xf numFmtId="0" fontId="48" fillId="0" borderId="0" xfId="5" applyFont="1"/>
    <xf numFmtId="169" fontId="21" fillId="0" borderId="0" xfId="5" applyNumberFormat="1" applyFont="1" applyAlignment="1">
      <alignment horizontal="center"/>
    </xf>
    <xf numFmtId="169" fontId="21" fillId="0" borderId="28" xfId="5" applyNumberFormat="1" applyFont="1" applyBorder="1" applyAlignment="1">
      <alignment horizontal="center"/>
    </xf>
    <xf numFmtId="169" fontId="21" fillId="0" borderId="13" xfId="5" applyNumberFormat="1" applyFont="1" applyBorder="1" applyAlignment="1">
      <alignment horizontal="center"/>
    </xf>
    <xf numFmtId="169" fontId="49" fillId="0" borderId="0" xfId="5" applyNumberFormat="1" applyFont="1" applyAlignment="1">
      <alignment horizontal="center"/>
    </xf>
    <xf numFmtId="0" fontId="21" fillId="0" borderId="0" xfId="5" applyFont="1" applyAlignment="1">
      <alignment vertical="center"/>
    </xf>
    <xf numFmtId="0" fontId="50" fillId="0" borderId="0" xfId="6" applyFont="1"/>
    <xf numFmtId="0" fontId="21" fillId="0" borderId="0" xfId="6" applyFont="1" applyAlignment="1">
      <alignment horizontal="center"/>
    </xf>
    <xf numFmtId="0" fontId="21" fillId="0" borderId="0" xfId="6" applyFont="1"/>
    <xf numFmtId="0" fontId="51" fillId="0" borderId="0" xfId="6" applyFont="1"/>
    <xf numFmtId="0" fontId="47" fillId="0" borderId="35" xfId="6" applyFont="1" applyBorder="1" applyAlignment="1">
      <alignment horizontal="center" vertical="center"/>
    </xf>
    <xf numFmtId="0" fontId="52" fillId="0" borderId="35" xfId="6" applyFont="1" applyBorder="1" applyAlignment="1">
      <alignment horizontal="center"/>
    </xf>
    <xf numFmtId="0" fontId="15" fillId="0" borderId="35" xfId="6" applyFont="1" applyBorder="1" applyAlignment="1">
      <alignment horizontal="center" wrapText="1"/>
    </xf>
    <xf numFmtId="0" fontId="21" fillId="0" borderId="35" xfId="6" applyFont="1" applyBorder="1" applyAlignment="1">
      <alignment horizontal="center"/>
    </xf>
    <xf numFmtId="169" fontId="21" fillId="0" borderId="35" xfId="6" applyNumberFormat="1" applyFont="1" applyBorder="1" applyAlignment="1">
      <alignment horizontal="center"/>
    </xf>
    <xf numFmtId="0" fontId="16" fillId="0" borderId="35" xfId="5" applyFont="1" applyBorder="1" applyAlignment="1" applyProtection="1">
      <alignment horizontal="left"/>
      <protection hidden="1"/>
    </xf>
    <xf numFmtId="0" fontId="21" fillId="0" borderId="35" xfId="5" applyFont="1" applyBorder="1" applyAlignment="1">
      <alignment horizontal="center"/>
    </xf>
    <xf numFmtId="169" fontId="21" fillId="0" borderId="35" xfId="5" applyNumberFormat="1" applyFont="1" applyBorder="1" applyAlignment="1">
      <alignment horizontal="center"/>
    </xf>
    <xf numFmtId="0" fontId="21" fillId="0" borderId="0" xfId="5" applyFont="1" applyAlignment="1">
      <alignment horizontal="center"/>
    </xf>
    <xf numFmtId="0" fontId="54" fillId="0" borderId="0" xfId="6" applyFont="1"/>
    <xf numFmtId="169" fontId="21" fillId="0" borderId="0" xfId="6" applyNumberFormat="1" applyFont="1" applyAlignment="1">
      <alignment horizontal="center"/>
    </xf>
    <xf numFmtId="0" fontId="16" fillId="0" borderId="0" xfId="5" applyFont="1" applyAlignment="1" applyProtection="1">
      <alignment horizontal="left"/>
      <protection hidden="1"/>
    </xf>
    <xf numFmtId="169" fontId="16" fillId="13" borderId="0" xfId="0" applyNumberFormat="1" applyFont="1" applyFill="1" applyAlignment="1">
      <alignment horizontal="center" wrapText="1"/>
    </xf>
    <xf numFmtId="169" fontId="15" fillId="0" borderId="37" xfId="0" applyNumberFormat="1" applyFont="1" applyBorder="1" applyAlignment="1">
      <alignment horizontal="center"/>
    </xf>
    <xf numFmtId="0" fontId="17" fillId="0" borderId="0" xfId="5" applyFont="1"/>
    <xf numFmtId="0" fontId="26" fillId="0" borderId="0" xfId="5" applyFont="1"/>
    <xf numFmtId="169" fontId="17" fillId="0" borderId="0" xfId="5" applyNumberFormat="1" applyFont="1" applyAlignment="1">
      <alignment horizontal="center"/>
    </xf>
    <xf numFmtId="169" fontId="16" fillId="0" borderId="37" xfId="0" applyNumberFormat="1" applyFont="1" applyBorder="1" applyAlignment="1">
      <alignment horizontal="center"/>
    </xf>
    <xf numFmtId="0" fontId="51" fillId="0" borderId="0" xfId="8" applyFont="1"/>
    <xf numFmtId="0" fontId="16" fillId="0" borderId="0" xfId="8" applyFont="1"/>
    <xf numFmtId="0" fontId="16" fillId="0" borderId="0" xfId="8" applyFont="1" applyAlignment="1">
      <alignment horizontal="center"/>
    </xf>
    <xf numFmtId="0" fontId="15" fillId="0" borderId="0" xfId="8" applyFont="1"/>
    <xf numFmtId="0" fontId="16" fillId="0" borderId="5" xfId="8" applyFont="1" applyBorder="1"/>
    <xf numFmtId="0" fontId="16" fillId="0" borderId="35" xfId="8" applyFont="1" applyBorder="1" applyAlignment="1">
      <alignment wrapText="1"/>
    </xf>
    <xf numFmtId="0" fontId="16" fillId="0" borderId="35" xfId="8" applyFont="1" applyBorder="1"/>
    <xf numFmtId="0" fontId="16" fillId="0" borderId="0" xfId="8" applyFont="1" applyAlignment="1">
      <alignment horizontal="center" wrapText="1"/>
    </xf>
    <xf numFmtId="0" fontId="16" fillId="0" borderId="35" xfId="8" applyFont="1" applyBorder="1" applyAlignment="1">
      <alignment horizontal="left"/>
    </xf>
    <xf numFmtId="9" fontId="16" fillId="17" borderId="0" xfId="8" applyNumberFormat="1" applyFont="1" applyFill="1" applyAlignment="1">
      <alignment horizontal="center"/>
    </xf>
    <xf numFmtId="1" fontId="53" fillId="14" borderId="0" xfId="8" applyNumberFormat="1" applyFont="1" applyFill="1" applyAlignment="1">
      <alignment horizontal="center"/>
    </xf>
    <xf numFmtId="1" fontId="16" fillId="0" borderId="0" xfId="9" applyNumberFormat="1" applyFont="1" applyAlignment="1">
      <alignment horizontal="center"/>
    </xf>
    <xf numFmtId="169" fontId="16" fillId="0" borderId="0" xfId="9" applyNumberFormat="1" applyFont="1" applyAlignment="1">
      <alignment horizontal="center"/>
    </xf>
    <xf numFmtId="169" fontId="16" fillId="0" borderId="0" xfId="10" applyNumberFormat="1" applyFont="1" applyAlignment="1">
      <alignment horizontal="center"/>
    </xf>
    <xf numFmtId="9" fontId="16" fillId="0" borderId="0" xfId="10" applyFont="1"/>
    <xf numFmtId="9" fontId="56" fillId="0" borderId="0" xfId="10" applyFont="1"/>
    <xf numFmtId="0" fontId="16" fillId="0" borderId="0" xfId="8" applyFont="1" applyAlignment="1">
      <alignment horizontal="left"/>
    </xf>
    <xf numFmtId="9" fontId="16" fillId="0" borderId="0" xfId="8" applyNumberFormat="1" applyFont="1" applyAlignment="1">
      <alignment horizontal="center"/>
    </xf>
    <xf numFmtId="3" fontId="52" fillId="0" borderId="0" xfId="8" applyNumberFormat="1" applyFont="1" applyAlignment="1">
      <alignment horizontal="center"/>
    </xf>
    <xf numFmtId="9" fontId="15" fillId="0" borderId="0" xfId="9" applyFont="1" applyFill="1" applyAlignment="1">
      <alignment horizontal="center"/>
    </xf>
    <xf numFmtId="169" fontId="15" fillId="0" borderId="0" xfId="9" applyNumberFormat="1" applyFont="1" applyFill="1" applyAlignment="1">
      <alignment horizontal="center"/>
    </xf>
    <xf numFmtId="9" fontId="16" fillId="0" borderId="0" xfId="10" applyFont="1" applyFill="1"/>
    <xf numFmtId="169" fontId="16" fillId="0" borderId="0" xfId="8" applyNumberFormat="1" applyFont="1" applyAlignment="1">
      <alignment horizontal="center"/>
    </xf>
    <xf numFmtId="0" fontId="10" fillId="0" borderId="0" xfId="8" applyFont="1"/>
    <xf numFmtId="0" fontId="16" fillId="0" borderId="35" xfId="8" applyFont="1" applyBorder="1" applyAlignment="1">
      <alignment horizontal="left" wrapText="1"/>
    </xf>
    <xf numFmtId="0" fontId="16" fillId="0" borderId="35" xfId="8" applyFont="1" applyBorder="1" applyAlignment="1">
      <alignment horizontal="center" wrapText="1"/>
    </xf>
    <xf numFmtId="0" fontId="16" fillId="0" borderId="35" xfId="6" applyBorder="1" applyAlignment="1">
      <alignment horizontal="center" wrapText="1"/>
    </xf>
    <xf numFmtId="0" fontId="16" fillId="0" borderId="35" xfId="8" applyFont="1" applyBorder="1" applyAlignment="1">
      <alignment horizontal="center"/>
    </xf>
    <xf numFmtId="0" fontId="16" fillId="18" borderId="35" xfId="8" applyFont="1" applyFill="1" applyBorder="1" applyAlignment="1">
      <alignment horizontal="center"/>
    </xf>
    <xf numFmtId="0" fontId="16" fillId="18" borderId="0" xfId="8" applyFont="1" applyFill="1" applyAlignment="1">
      <alignment horizontal="center" wrapText="1"/>
    </xf>
    <xf numFmtId="0" fontId="16" fillId="18" borderId="35" xfId="8" applyFont="1" applyFill="1" applyBorder="1" applyAlignment="1">
      <alignment horizontal="center" wrapText="1"/>
    </xf>
    <xf numFmtId="0" fontId="16" fillId="15" borderId="0" xfId="8" applyFont="1" applyFill="1" applyAlignment="1">
      <alignment horizontal="center" vertical="center" wrapText="1"/>
    </xf>
    <xf numFmtId="169" fontId="16" fillId="0" borderId="35" xfId="8" applyNumberFormat="1" applyFont="1" applyBorder="1" applyAlignment="1">
      <alignment horizontal="center" wrapText="1"/>
    </xf>
    <xf numFmtId="169" fontId="53" fillId="0" borderId="35" xfId="8" applyNumberFormat="1" applyFont="1" applyBorder="1" applyAlignment="1">
      <alignment horizontal="center" wrapText="1"/>
    </xf>
    <xf numFmtId="0" fontId="16" fillId="0" borderId="0" xfId="8" applyFont="1" applyAlignment="1">
      <alignment horizontal="center" vertical="center" wrapText="1"/>
    </xf>
    <xf numFmtId="0" fontId="16" fillId="0" borderId="0" xfId="8" applyFont="1" applyAlignment="1">
      <alignment horizontal="center" vertical="center"/>
    </xf>
    <xf numFmtId="172" fontId="16" fillId="0" borderId="35" xfId="8" applyNumberFormat="1" applyFont="1" applyBorder="1" applyAlignment="1">
      <alignment horizontal="left"/>
    </xf>
    <xf numFmtId="169" fontId="16" fillId="0" borderId="35" xfId="8" applyNumberFormat="1" applyFont="1" applyBorder="1" applyAlignment="1">
      <alignment horizontal="center"/>
    </xf>
    <xf numFmtId="169" fontId="16" fillId="17" borderId="35" xfId="8" applyNumberFormat="1" applyFont="1" applyFill="1" applyBorder="1" applyAlignment="1">
      <alignment horizontal="center"/>
    </xf>
    <xf numFmtId="3" fontId="16" fillId="0" borderId="0" xfId="8" applyNumberFormat="1" applyFont="1" applyAlignment="1">
      <alignment horizontal="center"/>
    </xf>
    <xf numFmtId="169" fontId="16" fillId="17" borderId="0" xfId="8" applyNumberFormat="1" applyFont="1" applyFill="1" applyAlignment="1">
      <alignment horizontal="center"/>
    </xf>
    <xf numFmtId="5" fontId="16" fillId="0" borderId="0" xfId="8" applyNumberFormat="1" applyFont="1" applyAlignment="1">
      <alignment horizontal="center"/>
    </xf>
    <xf numFmtId="169" fontId="16" fillId="19" borderId="35" xfId="8" applyNumberFormat="1" applyFont="1" applyFill="1" applyBorder="1" applyAlignment="1">
      <alignment horizontal="center"/>
    </xf>
    <xf numFmtId="3" fontId="21" fillId="17" borderId="35" xfId="8" applyNumberFormat="1" applyFont="1" applyFill="1" applyBorder="1" applyAlignment="1">
      <alignment horizontal="center"/>
    </xf>
    <xf numFmtId="172" fontId="16" fillId="17" borderId="35" xfId="8" applyNumberFormat="1" applyFont="1" applyFill="1" applyBorder="1" applyAlignment="1">
      <alignment horizontal="left"/>
    </xf>
    <xf numFmtId="0" fontId="16" fillId="0" borderId="35" xfId="6" applyBorder="1" applyAlignment="1">
      <alignment horizontal="center"/>
    </xf>
    <xf numFmtId="6" fontId="0" fillId="19" borderId="35" xfId="8" applyNumberFormat="1" applyFont="1" applyFill="1" applyBorder="1" applyAlignment="1">
      <alignment horizontal="center"/>
    </xf>
    <xf numFmtId="0" fontId="57" fillId="0" borderId="0" xfId="8" applyFont="1" applyAlignment="1">
      <alignment horizontal="center"/>
    </xf>
    <xf numFmtId="169" fontId="57" fillId="0" borderId="0" xfId="8" applyNumberFormat="1" applyFont="1" applyAlignment="1">
      <alignment horizontal="center"/>
    </xf>
    <xf numFmtId="169" fontId="57" fillId="0" borderId="0" xfId="8" applyNumberFormat="1" applyFont="1" applyAlignment="1">
      <alignment horizontal="center" wrapText="1"/>
    </xf>
    <xf numFmtId="3" fontId="57" fillId="0" borderId="0" xfId="8" applyNumberFormat="1" applyFont="1" applyAlignment="1">
      <alignment horizontal="center"/>
    </xf>
    <xf numFmtId="169" fontId="16" fillId="0" borderId="0" xfId="8" applyNumberFormat="1" applyFont="1"/>
    <xf numFmtId="0" fontId="58" fillId="0" borderId="35" xfId="8" applyFont="1" applyBorder="1"/>
    <xf numFmtId="6" fontId="16" fillId="17" borderId="35" xfId="6" applyNumberFormat="1" applyFill="1" applyBorder="1" applyAlignment="1">
      <alignment horizontal="center"/>
    </xf>
    <xf numFmtId="169" fontId="16" fillId="0" borderId="37" xfId="8" applyNumberFormat="1" applyFont="1" applyBorder="1" applyAlignment="1">
      <alignment horizontal="center"/>
    </xf>
    <xf numFmtId="3" fontId="16" fillId="0" borderId="37" xfId="8" applyNumberFormat="1" applyFont="1" applyBorder="1" applyAlignment="1">
      <alignment horizontal="center"/>
    </xf>
    <xf numFmtId="0" fontId="21" fillId="14" borderId="35" xfId="6" applyFont="1" applyFill="1" applyBorder="1" applyAlignment="1">
      <alignment horizontal="center"/>
    </xf>
    <xf numFmtId="169" fontId="21" fillId="14" borderId="35" xfId="6" applyNumberFormat="1" applyFont="1" applyFill="1" applyBorder="1" applyAlignment="1">
      <alignment horizontal="center"/>
    </xf>
    <xf numFmtId="0" fontId="16" fillId="14" borderId="35" xfId="5" applyFont="1" applyFill="1" applyBorder="1" applyAlignment="1" applyProtection="1">
      <alignment horizontal="left"/>
      <protection hidden="1"/>
    </xf>
    <xf numFmtId="169" fontId="17" fillId="0" borderId="0" xfId="5" applyNumberFormat="1" applyFont="1" applyAlignment="1">
      <alignment vertical="center"/>
    </xf>
    <xf numFmtId="0" fontId="21" fillId="0" borderId="0" xfId="12" applyFont="1"/>
    <xf numFmtId="6" fontId="21" fillId="0" borderId="0" xfId="12" applyNumberFormat="1" applyFont="1" applyAlignment="1">
      <alignment horizontal="center"/>
    </xf>
    <xf numFmtId="0" fontId="16" fillId="0" borderId="35" xfId="12" applyFont="1" applyBorder="1" applyAlignment="1">
      <alignment horizontal="center" wrapText="1"/>
    </xf>
    <xf numFmtId="169" fontId="21" fillId="0" borderId="0" xfId="12" applyNumberFormat="1" applyFont="1" applyAlignment="1">
      <alignment horizontal="center"/>
    </xf>
    <xf numFmtId="169" fontId="15" fillId="0" borderId="0" xfId="8" applyNumberFormat="1" applyFont="1" applyAlignment="1">
      <alignment horizontal="center"/>
    </xf>
    <xf numFmtId="173" fontId="16" fillId="0" borderId="0" xfId="11" applyNumberFormat="1" applyFont="1" applyAlignment="1">
      <alignment horizontal="center"/>
    </xf>
    <xf numFmtId="0" fontId="48" fillId="0" borderId="0" xfId="12" applyFont="1"/>
    <xf numFmtId="0" fontId="21" fillId="0" borderId="0" xfId="12" applyFont="1" applyAlignment="1">
      <alignment horizontal="center" vertical="center" wrapText="1"/>
    </xf>
    <xf numFmtId="0" fontId="21" fillId="0" borderId="0" xfId="12" applyFont="1" applyAlignment="1">
      <alignment vertical="center"/>
    </xf>
    <xf numFmtId="0" fontId="21" fillId="0" borderId="0" xfId="12" applyFont="1" applyAlignment="1">
      <alignment horizontal="center"/>
    </xf>
    <xf numFmtId="169" fontId="16" fillId="0" borderId="0" xfId="11" applyNumberFormat="1" applyFont="1" applyAlignment="1">
      <alignment horizontal="center"/>
    </xf>
    <xf numFmtId="171" fontId="21" fillId="0" borderId="0" xfId="12" applyNumberFormat="1" applyFont="1"/>
    <xf numFmtId="9" fontId="21" fillId="0" borderId="0" xfId="11" applyFont="1"/>
    <xf numFmtId="0" fontId="16" fillId="21" borderId="0" xfId="8" applyFont="1" applyFill="1"/>
    <xf numFmtId="169" fontId="21" fillId="0" borderId="0" xfId="6" applyNumberFormat="1" applyFont="1"/>
    <xf numFmtId="1" fontId="21" fillId="0" borderId="0" xfId="6" applyNumberFormat="1" applyFont="1" applyAlignment="1">
      <alignment horizontal="center"/>
    </xf>
    <xf numFmtId="1" fontId="21" fillId="0" borderId="28" xfId="6" applyNumberFormat="1" applyFont="1" applyBorder="1" applyAlignment="1">
      <alignment horizontal="center"/>
    </xf>
    <xf numFmtId="1" fontId="21" fillId="17" borderId="0" xfId="6" applyNumberFormat="1" applyFont="1" applyFill="1" applyAlignment="1">
      <alignment horizontal="center"/>
    </xf>
    <xf numFmtId="3" fontId="21" fillId="0" borderId="0" xfId="6" applyNumberFormat="1" applyFont="1" applyAlignment="1">
      <alignment horizontal="center" wrapText="1"/>
    </xf>
    <xf numFmtId="0" fontId="21" fillId="0" borderId="0" xfId="6" applyFont="1" applyAlignment="1">
      <alignment horizontal="right"/>
    </xf>
    <xf numFmtId="0" fontId="47" fillId="0" borderId="0" xfId="0" applyFont="1"/>
    <xf numFmtId="0" fontId="21" fillId="0" borderId="0" xfId="0" applyFont="1"/>
    <xf numFmtId="0" fontId="21" fillId="0" borderId="0" xfId="0" applyFont="1" applyAlignment="1">
      <alignment horizontal="center"/>
    </xf>
    <xf numFmtId="6" fontId="60" fillId="0" borderId="0" xfId="0" applyNumberFormat="1" applyFont="1" applyAlignment="1">
      <alignment horizontal="center"/>
    </xf>
    <xf numFmtId="1" fontId="16" fillId="0" borderId="0" xfId="8" applyNumberFormat="1" applyFont="1" applyAlignment="1">
      <alignment horizontal="center"/>
    </xf>
    <xf numFmtId="1" fontId="16" fillId="0" borderId="0" xfId="0" applyNumberFormat="1" applyFont="1" applyAlignment="1">
      <alignment horizontal="center"/>
    </xf>
    <xf numFmtId="170" fontId="21" fillId="0" borderId="0" xfId="0" applyNumberFormat="1" applyFont="1" applyAlignment="1">
      <alignment horizontal="center"/>
    </xf>
    <xf numFmtId="174" fontId="21" fillId="0" borderId="0" xfId="0" applyNumberFormat="1" applyFont="1" applyAlignment="1">
      <alignment horizontal="center"/>
    </xf>
    <xf numFmtId="169" fontId="21" fillId="0" borderId="0" xfId="0" applyNumberFormat="1" applyFont="1" applyAlignment="1">
      <alignment horizontal="center"/>
    </xf>
    <xf numFmtId="1" fontId="21" fillId="0" borderId="37" xfId="0" applyNumberFormat="1" applyFont="1" applyBorder="1" applyAlignment="1">
      <alignment horizontal="center"/>
    </xf>
    <xf numFmtId="1" fontId="47" fillId="0" borderId="37" xfId="0" applyNumberFormat="1" applyFont="1" applyBorder="1" applyAlignment="1">
      <alignment horizontal="center"/>
    </xf>
    <xf numFmtId="170" fontId="47" fillId="0" borderId="37" xfId="0" applyNumberFormat="1" applyFont="1" applyBorder="1" applyAlignment="1">
      <alignment horizontal="center"/>
    </xf>
    <xf numFmtId="169" fontId="47" fillId="0" borderId="37" xfId="0" applyNumberFormat="1" applyFont="1" applyBorder="1" applyAlignment="1">
      <alignment horizontal="center"/>
    </xf>
    <xf numFmtId="174" fontId="21" fillId="0" borderId="0" xfId="0" applyNumberFormat="1" applyFont="1"/>
    <xf numFmtId="174" fontId="54" fillId="0" borderId="0" xfId="0" applyNumberFormat="1" applyFont="1" applyAlignment="1">
      <alignment horizontal="center"/>
    </xf>
    <xf numFmtId="10" fontId="21" fillId="0" borderId="0" xfId="5" applyNumberFormat="1" applyFont="1"/>
    <xf numFmtId="0" fontId="21" fillId="0" borderId="0" xfId="5" applyFont="1" applyAlignment="1">
      <alignment horizontal="right"/>
    </xf>
    <xf numFmtId="169" fontId="21" fillId="0" borderId="0" xfId="5" applyNumberFormat="1" applyFont="1"/>
    <xf numFmtId="169" fontId="47" fillId="0" borderId="0" xfId="5" applyNumberFormat="1" applyFont="1" applyAlignment="1">
      <alignment horizontal="center"/>
    </xf>
    <xf numFmtId="1" fontId="16" fillId="0" borderId="0" xfId="10" applyNumberFormat="1" applyFont="1" applyAlignment="1">
      <alignment horizontal="center"/>
    </xf>
    <xf numFmtId="169" fontId="16" fillId="23" borderId="0" xfId="10" applyNumberFormat="1" applyFont="1" applyFill="1" applyAlignment="1">
      <alignment horizontal="center"/>
    </xf>
    <xf numFmtId="1" fontId="16" fillId="8" borderId="0" xfId="9" applyNumberFormat="1" applyFont="1" applyFill="1" applyAlignment="1">
      <alignment horizontal="center"/>
    </xf>
    <xf numFmtId="169" fontId="16" fillId="8" borderId="0" xfId="9" applyNumberFormat="1" applyFont="1" applyFill="1" applyAlignment="1">
      <alignment horizontal="center"/>
    </xf>
    <xf numFmtId="169" fontId="16" fillId="8" borderId="0" xfId="10" applyNumberFormat="1" applyFont="1" applyFill="1" applyAlignment="1">
      <alignment horizontal="center"/>
    </xf>
    <xf numFmtId="9" fontId="16" fillId="8" borderId="0" xfId="10" applyFont="1" applyFill="1"/>
    <xf numFmtId="1" fontId="16" fillId="8" borderId="0" xfId="10" applyNumberFormat="1" applyFont="1" applyFill="1" applyAlignment="1">
      <alignment horizontal="center"/>
    </xf>
    <xf numFmtId="0" fontId="2" fillId="0" borderId="0" xfId="13"/>
    <xf numFmtId="168" fontId="0" fillId="0" borderId="0" xfId="14" applyNumberFormat="1" applyFont="1"/>
    <xf numFmtId="168" fontId="2" fillId="0" borderId="0" xfId="13" applyNumberFormat="1"/>
    <xf numFmtId="0" fontId="62" fillId="12" borderId="0" xfId="13" applyFont="1" applyFill="1"/>
    <xf numFmtId="0" fontId="2" fillId="0" borderId="0" xfId="13" applyAlignment="1">
      <alignment horizontal="center"/>
    </xf>
    <xf numFmtId="0" fontId="6" fillId="0" borderId="0" xfId="13" applyFont="1" applyAlignment="1">
      <alignment horizontal="right" vertical="center"/>
    </xf>
    <xf numFmtId="0" fontId="6" fillId="0" borderId="0" xfId="13" applyFont="1" applyAlignment="1">
      <alignment vertical="center" wrapText="1"/>
    </xf>
    <xf numFmtId="168" fontId="6" fillId="0" borderId="0" xfId="14" applyNumberFormat="1" applyFont="1" applyAlignment="1">
      <alignment vertical="center" wrapText="1"/>
    </xf>
    <xf numFmtId="168" fontId="64" fillId="0" borderId="0" xfId="14" applyNumberFormat="1" applyFont="1" applyAlignment="1">
      <alignment vertical="center" wrapText="1"/>
    </xf>
    <xf numFmtId="0" fontId="65" fillId="12" borderId="0" xfId="13" applyFont="1" applyFill="1" applyAlignment="1">
      <alignment vertical="center" wrapText="1"/>
    </xf>
    <xf numFmtId="0" fontId="64" fillId="0" borderId="0" xfId="13" applyFont="1" applyAlignment="1">
      <alignment vertical="center" wrapText="1"/>
    </xf>
    <xf numFmtId="0" fontId="66" fillId="0" borderId="0" xfId="13" applyFont="1" applyAlignment="1">
      <alignment vertical="center" wrapText="1"/>
    </xf>
    <xf numFmtId="168" fontId="66" fillId="14" borderId="0" xfId="14" applyNumberFormat="1" applyFont="1" applyFill="1" applyAlignment="1">
      <alignment vertical="center" wrapText="1"/>
    </xf>
    <xf numFmtId="0" fontId="2" fillId="0" borderId="0" xfId="13" applyAlignment="1">
      <alignment wrapText="1"/>
    </xf>
    <xf numFmtId="168" fontId="61" fillId="0" borderId="0" xfId="14" applyNumberFormat="1" applyFont="1"/>
    <xf numFmtId="168" fontId="62" fillId="12" borderId="0" xfId="14" applyNumberFormat="1" applyFont="1" applyFill="1"/>
    <xf numFmtId="0" fontId="61" fillId="0" borderId="0" xfId="13" applyFont="1"/>
    <xf numFmtId="168" fontId="63" fillId="0" borderId="0" xfId="14" applyNumberFormat="1" applyFont="1"/>
    <xf numFmtId="168" fontId="63" fillId="0" borderId="0" xfId="13" applyNumberFormat="1" applyFont="1"/>
    <xf numFmtId="0" fontId="63" fillId="0" borderId="0" xfId="13" applyFont="1"/>
    <xf numFmtId="168" fontId="63" fillId="14" borderId="0" xfId="14" applyNumberFormat="1" applyFont="1" applyFill="1"/>
    <xf numFmtId="168" fontId="61" fillId="24" borderId="0" xfId="14" applyNumberFormat="1" applyFont="1" applyFill="1"/>
    <xf numFmtId="168" fontId="67" fillId="24" borderId="0" xfId="14" applyNumberFormat="1" applyFont="1" applyFill="1"/>
    <xf numFmtId="168" fontId="67" fillId="0" borderId="0" xfId="14" applyNumberFormat="1" applyFont="1" applyFill="1"/>
    <xf numFmtId="168" fontId="61" fillId="22" borderId="0" xfId="14" applyNumberFormat="1" applyFont="1" applyFill="1"/>
    <xf numFmtId="168" fontId="6" fillId="22" borderId="0" xfId="14" applyNumberFormat="1" applyFont="1" applyFill="1"/>
    <xf numFmtId="168" fontId="6" fillId="25" borderId="0" xfId="14" applyNumberFormat="1" applyFont="1" applyFill="1"/>
    <xf numFmtId="0" fontId="61" fillId="21" borderId="0" xfId="13" applyFont="1" applyFill="1"/>
    <xf numFmtId="168" fontId="6" fillId="21" borderId="0" xfId="14" applyNumberFormat="1" applyFont="1" applyFill="1"/>
    <xf numFmtId="168" fontId="68" fillId="26" borderId="0" xfId="14" applyNumberFormat="1" applyFont="1" applyFill="1"/>
    <xf numFmtId="168" fontId="67" fillId="27" borderId="0" xfId="14" applyNumberFormat="1" applyFont="1" applyFill="1"/>
    <xf numFmtId="168" fontId="0" fillId="27" borderId="0" xfId="14" applyNumberFormat="1" applyFont="1" applyFill="1"/>
    <xf numFmtId="168" fontId="61" fillId="0" borderId="0" xfId="14" applyNumberFormat="1" applyFont="1" applyFill="1"/>
    <xf numFmtId="168" fontId="69" fillId="28" borderId="0" xfId="14" applyNumberFormat="1" applyFont="1" applyFill="1"/>
    <xf numFmtId="170" fontId="63" fillId="0" borderId="0" xfId="13" applyNumberFormat="1" applyFont="1"/>
    <xf numFmtId="43" fontId="63" fillId="0" borderId="0" xfId="13" applyNumberFormat="1" applyFont="1"/>
    <xf numFmtId="0" fontId="2" fillId="14" borderId="0" xfId="13" applyFill="1"/>
    <xf numFmtId="0" fontId="2" fillId="14" borderId="0" xfId="13" applyFill="1" applyAlignment="1">
      <alignment wrapText="1"/>
    </xf>
    <xf numFmtId="168" fontId="0" fillId="14" borderId="0" xfId="14" applyNumberFormat="1" applyFont="1" applyFill="1"/>
    <xf numFmtId="168" fontId="2" fillId="14" borderId="0" xfId="13" applyNumberFormat="1" applyFill="1"/>
    <xf numFmtId="168" fontId="61" fillId="14" borderId="0" xfId="14" applyNumberFormat="1" applyFont="1" applyFill="1"/>
    <xf numFmtId="168" fontId="0" fillId="26" borderId="0" xfId="14" applyNumberFormat="1" applyFont="1" applyFill="1"/>
    <xf numFmtId="168" fontId="61" fillId="26" borderId="0" xfId="14" applyNumberFormat="1" applyFont="1" applyFill="1"/>
    <xf numFmtId="0" fontId="61" fillId="26" borderId="0" xfId="13" applyFont="1" applyFill="1"/>
    <xf numFmtId="168" fontId="63" fillId="14" borderId="0" xfId="13" applyNumberFormat="1" applyFont="1" applyFill="1"/>
    <xf numFmtId="170" fontId="63" fillId="14" borderId="0" xfId="13" applyNumberFormat="1" applyFont="1" applyFill="1"/>
    <xf numFmtId="168" fontId="63" fillId="26" borderId="0" xfId="14" applyNumberFormat="1" applyFont="1" applyFill="1"/>
    <xf numFmtId="0" fontId="61" fillId="14" borderId="0" xfId="13" applyFont="1" applyFill="1"/>
    <xf numFmtId="168" fontId="2" fillId="0" borderId="0" xfId="14" applyNumberFormat="1" applyFont="1"/>
    <xf numFmtId="168" fontId="2" fillId="14" borderId="0" xfId="14" applyNumberFormat="1" applyFont="1" applyFill="1"/>
    <xf numFmtId="0" fontId="63" fillId="0" borderId="13" xfId="13" applyFont="1" applyBorder="1"/>
    <xf numFmtId="0" fontId="63" fillId="0" borderId="13" xfId="13" applyFont="1" applyBorder="1" applyAlignment="1">
      <alignment wrapText="1"/>
    </xf>
    <xf numFmtId="1" fontId="63" fillId="0" borderId="13" xfId="13" applyNumberFormat="1" applyFont="1" applyBorder="1"/>
    <xf numFmtId="170" fontId="63" fillId="0" borderId="13" xfId="13" applyNumberFormat="1" applyFont="1" applyBorder="1"/>
    <xf numFmtId="2" fontId="63" fillId="0" borderId="13" xfId="13" applyNumberFormat="1" applyFont="1" applyBorder="1"/>
    <xf numFmtId="168" fontId="63" fillId="0" borderId="13" xfId="13" applyNumberFormat="1" applyFont="1" applyBorder="1"/>
    <xf numFmtId="168" fontId="70" fillId="12" borderId="13" xfId="13" applyNumberFormat="1" applyFont="1" applyFill="1" applyBorder="1"/>
    <xf numFmtId="168" fontId="66" fillId="0" borderId="13" xfId="13" applyNumberFormat="1" applyFont="1" applyBorder="1"/>
    <xf numFmtId="175" fontId="66" fillId="0" borderId="13" xfId="13" applyNumberFormat="1" applyFont="1" applyBorder="1"/>
    <xf numFmtId="168" fontId="66" fillId="14" borderId="13" xfId="13" applyNumberFormat="1" applyFont="1" applyFill="1" applyBorder="1"/>
    <xf numFmtId="175" fontId="63" fillId="0" borderId="0" xfId="13" applyNumberFormat="1" applyFont="1"/>
    <xf numFmtId="0" fontId="17" fillId="0" borderId="0" xfId="5" applyFont="1" applyAlignment="1">
      <alignment horizontal="right"/>
    </xf>
    <xf numFmtId="169" fontId="16" fillId="0" borderId="28" xfId="5" applyNumberFormat="1" applyFont="1" applyBorder="1" applyAlignment="1">
      <alignment horizontal="center"/>
    </xf>
    <xf numFmtId="169" fontId="15" fillId="0" borderId="0" xfId="5" applyNumberFormat="1" applyFont="1" applyAlignment="1">
      <alignment horizontal="center"/>
    </xf>
    <xf numFmtId="169" fontId="71" fillId="0" borderId="0" xfId="6" applyNumberFormat="1" applyFont="1" applyAlignment="1">
      <alignment horizontal="left"/>
    </xf>
    <xf numFmtId="169" fontId="53" fillId="0" borderId="0" xfId="5" applyNumberFormat="1" applyFont="1"/>
    <xf numFmtId="0" fontId="53" fillId="0" borderId="0" xfId="5" applyFont="1" applyAlignment="1">
      <alignment horizontal="right"/>
    </xf>
    <xf numFmtId="174" fontId="21" fillId="0" borderId="0" xfId="5" applyNumberFormat="1" applyFont="1"/>
    <xf numFmtId="0" fontId="16" fillId="0" borderId="0" xfId="5" applyFont="1"/>
    <xf numFmtId="174" fontId="16" fillId="0" borderId="0" xfId="5" applyNumberFormat="1" applyFont="1"/>
    <xf numFmtId="169" fontId="16" fillId="0" borderId="0" xfId="5" applyNumberFormat="1" applyFont="1"/>
    <xf numFmtId="0" fontId="21" fillId="0" borderId="35" xfId="0" applyFont="1" applyBorder="1" applyAlignment="1">
      <alignment horizontal="center"/>
    </xf>
    <xf numFmtId="0" fontId="72" fillId="0" borderId="0" xfId="13" applyFont="1"/>
    <xf numFmtId="169" fontId="72" fillId="0" borderId="0" xfId="13" applyNumberFormat="1" applyFont="1" applyAlignment="1">
      <alignment horizontal="center"/>
    </xf>
    <xf numFmtId="168" fontId="16" fillId="0" borderId="0" xfId="14" applyNumberFormat="1" applyFont="1"/>
    <xf numFmtId="168" fontId="73" fillId="0" borderId="0" xfId="14" applyNumberFormat="1" applyFont="1"/>
    <xf numFmtId="0" fontId="74" fillId="12" borderId="0" xfId="13" applyFont="1" applyFill="1"/>
    <xf numFmtId="0" fontId="73" fillId="0" borderId="0" xfId="13" applyFont="1"/>
    <xf numFmtId="0" fontId="75" fillId="0" borderId="0" xfId="13" applyFont="1"/>
    <xf numFmtId="168" fontId="75" fillId="14" borderId="0" xfId="14" applyNumberFormat="1" applyFont="1" applyFill="1"/>
    <xf numFmtId="0" fontId="38" fillId="0" borderId="0" xfId="13" applyFont="1"/>
    <xf numFmtId="6" fontId="72" fillId="0" borderId="0" xfId="13" applyNumberFormat="1" applyFont="1"/>
    <xf numFmtId="6" fontId="72" fillId="0" borderId="0" xfId="13" applyNumberFormat="1" applyFont="1" applyAlignment="1">
      <alignment horizontal="center"/>
    </xf>
    <xf numFmtId="8" fontId="72" fillId="0" borderId="0" xfId="13" applyNumberFormat="1" applyFont="1" applyAlignment="1">
      <alignment horizontal="center"/>
    </xf>
    <xf numFmtId="6" fontId="38" fillId="0" borderId="37" xfId="13" applyNumberFormat="1" applyFont="1" applyBorder="1" applyAlignment="1">
      <alignment horizontal="center"/>
    </xf>
    <xf numFmtId="0" fontId="16" fillId="0" borderId="35" xfId="8" applyFont="1" applyBorder="1" applyAlignment="1">
      <alignment horizontal="center" vertical="center" wrapText="1"/>
    </xf>
    <xf numFmtId="0" fontId="16" fillId="0" borderId="35" xfId="8" applyFont="1" applyBorder="1" applyAlignment="1">
      <alignment vertical="center" wrapText="1"/>
    </xf>
    <xf numFmtId="0" fontId="16" fillId="0" borderId="35" xfId="8" applyFont="1" applyBorder="1" applyAlignment="1">
      <alignment horizontal="center" vertical="center"/>
    </xf>
    <xf numFmtId="5" fontId="16" fillId="0" borderId="35" xfId="8" applyNumberFormat="1" applyFont="1" applyBorder="1" applyAlignment="1">
      <alignment horizontal="center"/>
    </xf>
    <xf numFmtId="9" fontId="16" fillId="0" borderId="35" xfId="11" applyFont="1" applyBorder="1" applyAlignment="1">
      <alignment horizontal="center"/>
    </xf>
    <xf numFmtId="169" fontId="16" fillId="0" borderId="35" xfId="11" applyNumberFormat="1" applyFont="1" applyBorder="1" applyAlignment="1">
      <alignment horizontal="center"/>
    </xf>
    <xf numFmtId="173" fontId="16" fillId="0" borderId="35" xfId="11" applyNumberFormat="1" applyFont="1" applyBorder="1" applyAlignment="1">
      <alignment horizontal="center"/>
    </xf>
    <xf numFmtId="5" fontId="16" fillId="12" borderId="35" xfId="8" applyNumberFormat="1" applyFont="1" applyFill="1" applyBorder="1" applyAlignment="1">
      <alignment horizontal="center"/>
    </xf>
    <xf numFmtId="169" fontId="16" fillId="12" borderId="35" xfId="8" applyNumberFormat="1" applyFont="1" applyFill="1" applyBorder="1" applyAlignment="1">
      <alignment horizontal="center"/>
    </xf>
    <xf numFmtId="3" fontId="21" fillId="0" borderId="35" xfId="8" applyNumberFormat="1" applyFont="1" applyBorder="1" applyAlignment="1">
      <alignment horizontal="center"/>
    </xf>
    <xf numFmtId="3" fontId="0" fillId="0" borderId="35" xfId="8" applyNumberFormat="1" applyFont="1" applyBorder="1" applyAlignment="1">
      <alignment horizontal="center"/>
    </xf>
    <xf numFmtId="0" fontId="16" fillId="29" borderId="35" xfId="8" applyFont="1" applyFill="1" applyBorder="1" applyAlignment="1">
      <alignment horizontal="center" vertical="center" wrapText="1"/>
    </xf>
    <xf numFmtId="0" fontId="16" fillId="21" borderId="35" xfId="8" applyFont="1" applyFill="1" applyBorder="1" applyAlignment="1">
      <alignment horizontal="center" vertical="center" wrapText="1"/>
    </xf>
    <xf numFmtId="0" fontId="50" fillId="0" borderId="0" xfId="6" applyFont="1" applyAlignment="1">
      <alignment horizontal="left"/>
    </xf>
    <xf numFmtId="0" fontId="16" fillId="0" borderId="0" xfId="6" applyAlignment="1">
      <alignment horizontal="center"/>
    </xf>
    <xf numFmtId="0" fontId="16" fillId="0" borderId="0" xfId="6"/>
    <xf numFmtId="9" fontId="16" fillId="0" borderId="0" xfId="6" applyNumberFormat="1" applyAlignment="1">
      <alignment horizontal="center"/>
    </xf>
    <xf numFmtId="0" fontId="16" fillId="0" borderId="37" xfId="6" applyBorder="1" applyAlignment="1">
      <alignment horizontal="center"/>
    </xf>
    <xf numFmtId="0" fontId="15" fillId="0" borderId="35" xfId="16" applyFont="1" applyBorder="1" applyAlignment="1">
      <alignment horizontal="center" vertical="center" wrapText="1"/>
    </xf>
    <xf numFmtId="0" fontId="15" fillId="0" borderId="35" xfId="16" applyFont="1" applyBorder="1" applyAlignment="1">
      <alignment horizontal="center" vertical="center" wrapText="1" shrinkToFit="1"/>
    </xf>
    <xf numFmtId="49" fontId="15" fillId="0" borderId="35" xfId="16" applyNumberFormat="1" applyFont="1" applyBorder="1" applyAlignment="1">
      <alignment horizontal="center" vertical="center" wrapText="1" shrinkToFit="1"/>
    </xf>
    <xf numFmtId="0" fontId="78" fillId="0" borderId="35" xfId="17" applyFont="1" applyBorder="1" applyAlignment="1">
      <alignment horizontal="center" vertical="center" wrapText="1"/>
    </xf>
    <xf numFmtId="0" fontId="15" fillId="19" borderId="35" xfId="6" applyFont="1" applyFill="1" applyBorder="1" applyAlignment="1">
      <alignment horizontal="center" wrapText="1"/>
    </xf>
    <xf numFmtId="0" fontId="16" fillId="0" borderId="0" xfId="16" applyFont="1" applyAlignment="1">
      <alignment horizontal="center"/>
    </xf>
    <xf numFmtId="0" fontId="16" fillId="0" borderId="0" xfId="16" applyFont="1" applyAlignment="1">
      <alignment horizontal="center" wrapText="1"/>
    </xf>
    <xf numFmtId="1" fontId="16" fillId="0" borderId="0" xfId="16" applyNumberFormat="1" applyFont="1" applyAlignment="1">
      <alignment horizontal="center" wrapText="1"/>
    </xf>
    <xf numFmtId="1" fontId="79" fillId="0" borderId="0" xfId="17" applyNumberFormat="1" applyFont="1" applyAlignment="1">
      <alignment horizontal="center" wrapText="1"/>
    </xf>
    <xf numFmtId="1" fontId="16" fillId="0" borderId="0" xfId="6" applyNumberFormat="1" applyAlignment="1">
      <alignment horizontal="center"/>
    </xf>
    <xf numFmtId="1" fontId="16" fillId="0" borderId="0" xfId="9" applyNumberFormat="1" applyFont="1" applyBorder="1" applyAlignment="1">
      <alignment horizontal="center"/>
    </xf>
    <xf numFmtId="169" fontId="16" fillId="0" borderId="0" xfId="9" applyNumberFormat="1" applyFont="1" applyBorder="1" applyAlignment="1">
      <alignment horizontal="center"/>
    </xf>
    <xf numFmtId="169" fontId="16" fillId="0" borderId="0" xfId="10" applyNumberFormat="1" applyFont="1" applyBorder="1" applyAlignment="1">
      <alignment horizontal="center"/>
    </xf>
    <xf numFmtId="1" fontId="16" fillId="0" borderId="0" xfId="17" applyNumberFormat="1" applyFont="1" applyAlignment="1">
      <alignment horizontal="center" wrapText="1"/>
    </xf>
    <xf numFmtId="1" fontId="79" fillId="15" borderId="0" xfId="17" applyNumberFormat="1" applyFont="1" applyFill="1" applyAlignment="1">
      <alignment horizontal="center" wrapText="1"/>
    </xf>
    <xf numFmtId="1" fontId="16" fillId="15" borderId="0" xfId="17" applyNumberFormat="1" applyFont="1" applyFill="1" applyAlignment="1">
      <alignment horizontal="center" wrapText="1"/>
    </xf>
    <xf numFmtId="0" fontId="78" fillId="15" borderId="35" xfId="17" applyFont="1" applyFill="1" applyBorder="1" applyAlignment="1">
      <alignment horizontal="center" vertical="center" wrapText="1"/>
    </xf>
    <xf numFmtId="0" fontId="16" fillId="15" borderId="35" xfId="6" applyFill="1" applyBorder="1" applyAlignment="1">
      <alignment horizontal="center"/>
    </xf>
    <xf numFmtId="1" fontId="16" fillId="15" borderId="0" xfId="6" applyNumberFormat="1" applyFill="1" applyAlignment="1">
      <alignment horizontal="center"/>
    </xf>
    <xf numFmtId="0" fontId="16" fillId="15" borderId="0" xfId="6" applyFill="1"/>
    <xf numFmtId="0" fontId="16" fillId="15" borderId="35" xfId="6" applyFill="1" applyBorder="1"/>
    <xf numFmtId="6" fontId="16" fillId="0" borderId="0" xfId="6" applyNumberFormat="1" applyAlignment="1">
      <alignment horizontal="center"/>
    </xf>
    <xf numFmtId="3" fontId="21" fillId="0" borderId="0" xfId="8" applyNumberFormat="1" applyFont="1" applyAlignment="1">
      <alignment horizontal="center"/>
    </xf>
    <xf numFmtId="169" fontId="16" fillId="0" borderId="0" xfId="8" applyNumberFormat="1" applyFont="1" applyAlignment="1">
      <alignment horizontal="center" wrapText="1"/>
    </xf>
    <xf numFmtId="169" fontId="16" fillId="0" borderId="0" xfId="11" applyNumberFormat="1" applyFont="1" applyBorder="1" applyAlignment="1">
      <alignment horizontal="center"/>
    </xf>
    <xf numFmtId="173" fontId="16" fillId="0" borderId="0" xfId="11" applyNumberFormat="1" applyFont="1" applyBorder="1" applyAlignment="1">
      <alignment horizontal="center"/>
    </xf>
    <xf numFmtId="0" fontId="10" fillId="0" borderId="0" xfId="8" applyFont="1" applyAlignment="1">
      <alignment horizontal="left"/>
    </xf>
    <xf numFmtId="169" fontId="16" fillId="0" borderId="0" xfId="10" applyNumberFormat="1" applyFont="1" applyFill="1" applyAlignment="1">
      <alignment horizontal="center"/>
    </xf>
    <xf numFmtId="1" fontId="16" fillId="0" borderId="37" xfId="6" applyNumberFormat="1" applyBorder="1" applyAlignment="1">
      <alignment horizontal="center"/>
    </xf>
    <xf numFmtId="0" fontId="0" fillId="0" borderId="0" xfId="0" applyAlignment="1">
      <alignment horizontal="left"/>
    </xf>
    <xf numFmtId="0" fontId="16" fillId="0" borderId="0" xfId="16" applyFont="1" applyAlignment="1">
      <alignment horizontal="left" wrapText="1"/>
    </xf>
    <xf numFmtId="0" fontId="72" fillId="0" borderId="0" xfId="0" applyFont="1"/>
    <xf numFmtId="0" fontId="82" fillId="0" borderId="0" xfId="0" applyFont="1"/>
    <xf numFmtId="3" fontId="16" fillId="0" borderId="0" xfId="10" applyNumberFormat="1" applyFont="1" applyFill="1" applyAlignment="1">
      <alignment horizontal="center"/>
    </xf>
    <xf numFmtId="169" fontId="16" fillId="0" borderId="0" xfId="6" applyNumberFormat="1" applyAlignment="1">
      <alignment horizontal="center"/>
    </xf>
    <xf numFmtId="0" fontId="72" fillId="8" borderId="0" xfId="0" applyFont="1" applyFill="1"/>
    <xf numFmtId="0" fontId="0" fillId="8" borderId="0" xfId="0" applyFill="1"/>
    <xf numFmtId="0" fontId="72" fillId="8" borderId="0" xfId="0" applyFont="1" applyFill="1" applyAlignment="1">
      <alignment horizontal="center" vertical="center" wrapText="1"/>
    </xf>
    <xf numFmtId="4" fontId="72" fillId="8" borderId="0" xfId="0" applyNumberFormat="1" applyFont="1" applyFill="1"/>
    <xf numFmtId="0" fontId="16" fillId="15" borderId="35" xfId="8" applyFont="1" applyFill="1" applyBorder="1" applyAlignment="1">
      <alignment horizontal="left" wrapText="1"/>
    </xf>
    <xf numFmtId="0" fontId="16" fillId="15" borderId="35" xfId="8" applyFont="1" applyFill="1" applyBorder="1"/>
    <xf numFmtId="0" fontId="16" fillId="15" borderId="35" xfId="8" applyFont="1" applyFill="1" applyBorder="1" applyAlignment="1">
      <alignment horizontal="center" wrapText="1"/>
    </xf>
    <xf numFmtId="0" fontId="16" fillId="15" borderId="35" xfId="6" applyFill="1" applyBorder="1" applyAlignment="1">
      <alignment horizontal="center" wrapText="1"/>
    </xf>
    <xf numFmtId="0" fontId="16" fillId="15" borderId="35" xfId="8" applyFont="1" applyFill="1" applyBorder="1" applyAlignment="1">
      <alignment horizontal="center"/>
    </xf>
    <xf numFmtId="0" fontId="15" fillId="19" borderId="35" xfId="8" applyFont="1" applyFill="1" applyBorder="1" applyAlignment="1">
      <alignment horizontal="center" wrapText="1"/>
    </xf>
    <xf numFmtId="0" fontId="16" fillId="0" borderId="0" xfId="8" applyFont="1" applyAlignment="1">
      <alignment wrapText="1"/>
    </xf>
    <xf numFmtId="3" fontId="0" fillId="17" borderId="35" xfId="8" applyNumberFormat="1" applyFont="1" applyFill="1" applyBorder="1" applyAlignment="1">
      <alignment horizontal="center"/>
    </xf>
    <xf numFmtId="171" fontId="16" fillId="0" borderId="0" xfId="8" applyNumberFormat="1" applyFont="1"/>
    <xf numFmtId="169" fontId="16" fillId="0" borderId="35" xfId="10" applyNumberFormat="1" applyFont="1" applyBorder="1" applyAlignment="1">
      <alignment horizontal="center"/>
    </xf>
    <xf numFmtId="172" fontId="16" fillId="14" borderId="35" xfId="8" applyNumberFormat="1" applyFont="1" applyFill="1" applyBorder="1" applyAlignment="1">
      <alignment horizontal="left"/>
    </xf>
    <xf numFmtId="0" fontId="51" fillId="0" borderId="0" xfId="8" applyFont="1" applyAlignment="1">
      <alignment horizontal="center"/>
    </xf>
    <xf numFmtId="169" fontId="90" fillId="0" borderId="0" xfId="8" applyNumberFormat="1" applyFont="1" applyAlignment="1">
      <alignment horizontal="center"/>
    </xf>
    <xf numFmtId="3" fontId="90" fillId="0" borderId="0" xfId="8" applyNumberFormat="1" applyFont="1" applyAlignment="1">
      <alignment horizontal="center"/>
    </xf>
    <xf numFmtId="3" fontId="15" fillId="0" borderId="0" xfId="8" applyNumberFormat="1" applyFont="1" applyAlignment="1">
      <alignment horizontal="center"/>
    </xf>
    <xf numFmtId="169" fontId="91" fillId="0" borderId="0" xfId="8" applyNumberFormat="1" applyFont="1" applyAlignment="1">
      <alignment horizontal="center"/>
    </xf>
    <xf numFmtId="0" fontId="53" fillId="0" borderId="0" xfId="8" applyFont="1" applyAlignment="1">
      <alignment horizontal="left"/>
    </xf>
    <xf numFmtId="0" fontId="16" fillId="0" borderId="43" xfId="8" applyFont="1" applyBorder="1" applyAlignment="1">
      <alignment horizontal="center" wrapText="1"/>
    </xf>
    <xf numFmtId="169" fontId="16" fillId="0" borderId="35" xfId="8" applyNumberFormat="1" applyFont="1" applyBorder="1" applyAlignment="1">
      <alignment wrapText="1"/>
    </xf>
    <xf numFmtId="169" fontId="15" fillId="0" borderId="35" xfId="8" applyNumberFormat="1" applyFont="1" applyBorder="1" applyAlignment="1">
      <alignment horizontal="center" wrapText="1"/>
    </xf>
    <xf numFmtId="0" fontId="15" fillId="0" borderId="35" xfId="8" applyFont="1" applyBorder="1" applyAlignment="1">
      <alignment horizontal="center" wrapText="1"/>
    </xf>
    <xf numFmtId="3" fontId="16" fillId="17" borderId="43" xfId="8" applyNumberFormat="1" applyFont="1" applyFill="1" applyBorder="1" applyAlignment="1">
      <alignment horizontal="center"/>
    </xf>
    <xf numFmtId="1" fontId="16" fillId="0" borderId="35" xfId="8" applyNumberFormat="1" applyFont="1" applyBorder="1" applyAlignment="1">
      <alignment horizontal="center"/>
    </xf>
    <xf numFmtId="1" fontId="53" fillId="0" borderId="35" xfId="8" applyNumberFormat="1" applyFont="1" applyBorder="1" applyAlignment="1">
      <alignment horizontal="center"/>
    </xf>
    <xf numFmtId="169" fontId="53" fillId="0" borderId="35" xfId="8" applyNumberFormat="1" applyFont="1" applyBorder="1" applyAlignment="1">
      <alignment horizontal="center"/>
    </xf>
    <xf numFmtId="169" fontId="53" fillId="0" borderId="0" xfId="8" applyNumberFormat="1" applyFont="1" applyAlignment="1">
      <alignment horizontal="center"/>
    </xf>
    <xf numFmtId="0" fontId="53" fillId="0" borderId="0" xfId="8" applyFont="1" applyAlignment="1">
      <alignment horizontal="center"/>
    </xf>
    <xf numFmtId="6" fontId="16" fillId="0" borderId="35" xfId="6" applyNumberFormat="1" applyBorder="1" applyAlignment="1">
      <alignment horizontal="center"/>
    </xf>
    <xf numFmtId="169" fontId="16" fillId="0" borderId="35" xfId="6" applyNumberFormat="1" applyBorder="1" applyAlignment="1">
      <alignment horizontal="center"/>
    </xf>
    <xf numFmtId="172" fontId="16" fillId="0" borderId="0" xfId="8" applyNumberFormat="1" applyFont="1" applyAlignment="1">
      <alignment horizontal="left"/>
    </xf>
    <xf numFmtId="1" fontId="16" fillId="0" borderId="0" xfId="8" applyNumberFormat="1" applyFont="1"/>
    <xf numFmtId="1" fontId="16" fillId="0" borderId="37" xfId="8" applyNumberFormat="1" applyFont="1" applyBorder="1" applyAlignment="1">
      <alignment horizontal="center"/>
    </xf>
    <xf numFmtId="169" fontId="15" fillId="0" borderId="37" xfId="8" applyNumberFormat="1" applyFont="1" applyBorder="1" applyAlignment="1">
      <alignment horizontal="center"/>
    </xf>
    <xf numFmtId="0" fontId="15" fillId="0" borderId="0" xfId="8" applyFont="1" applyAlignment="1">
      <alignment horizontal="center"/>
    </xf>
    <xf numFmtId="9" fontId="16" fillId="0" borderId="0" xfId="11" applyFont="1"/>
    <xf numFmtId="169" fontId="21" fillId="14" borderId="0" xfId="5" applyNumberFormat="1" applyFont="1" applyFill="1" applyAlignment="1">
      <alignment horizontal="center"/>
    </xf>
    <xf numFmtId="1" fontId="16" fillId="0" borderId="0" xfId="6" applyNumberFormat="1"/>
    <xf numFmtId="173" fontId="16" fillId="0" borderId="0" xfId="11" applyNumberFormat="1" applyFont="1"/>
    <xf numFmtId="5" fontId="16" fillId="0" borderId="0" xfId="8" applyNumberFormat="1" applyFont="1"/>
    <xf numFmtId="9" fontId="16" fillId="0" borderId="0" xfId="6" applyNumberFormat="1"/>
    <xf numFmtId="174" fontId="16" fillId="0" borderId="0" xfId="8" applyNumberFormat="1" applyFont="1"/>
    <xf numFmtId="9" fontId="16" fillId="0" borderId="0" xfId="11" applyFont="1" applyAlignment="1">
      <alignment horizontal="center"/>
    </xf>
    <xf numFmtId="169" fontId="16" fillId="0" borderId="0" xfId="6" applyNumberFormat="1"/>
    <xf numFmtId="169" fontId="16" fillId="0" borderId="37" xfId="6" applyNumberFormat="1" applyBorder="1" applyAlignment="1">
      <alignment horizontal="center"/>
    </xf>
    <xf numFmtId="0" fontId="16" fillId="0" borderId="0" xfId="6" applyAlignment="1">
      <alignment horizontal="right"/>
    </xf>
    <xf numFmtId="1" fontId="16" fillId="0" borderId="0" xfId="6" applyNumberFormat="1" applyAlignment="1">
      <alignment horizontal="right"/>
    </xf>
    <xf numFmtId="169" fontId="16" fillId="0" borderId="28" xfId="6" applyNumberFormat="1" applyBorder="1" applyAlignment="1">
      <alignment horizontal="center"/>
    </xf>
    <xf numFmtId="1" fontId="16" fillId="0" borderId="0" xfId="11" applyNumberFormat="1" applyFont="1" applyAlignment="1">
      <alignment horizontal="center"/>
    </xf>
    <xf numFmtId="2" fontId="16" fillId="0" borderId="0" xfId="6" applyNumberFormat="1" applyAlignment="1">
      <alignment horizontal="center"/>
    </xf>
    <xf numFmtId="0" fontId="16" fillId="0" borderId="35" xfId="6" applyBorder="1" applyAlignment="1">
      <alignment horizontal="center" vertical="center" wrapText="1"/>
    </xf>
    <xf numFmtId="1" fontId="16" fillId="17" borderId="0" xfId="6" applyNumberFormat="1" applyFill="1" applyAlignment="1">
      <alignment horizontal="center"/>
    </xf>
    <xf numFmtId="0" fontId="58" fillId="0" borderId="0" xfId="8" applyFont="1" applyAlignment="1">
      <alignment horizontal="center" wrapText="1"/>
    </xf>
    <xf numFmtId="169" fontId="58" fillId="0" borderId="0" xfId="8" applyNumberFormat="1" applyFont="1" applyAlignment="1">
      <alignment horizontal="center" wrapText="1"/>
    </xf>
    <xf numFmtId="3" fontId="58" fillId="0" borderId="0" xfId="8" applyNumberFormat="1" applyFont="1" applyAlignment="1">
      <alignment horizontal="center"/>
    </xf>
    <xf numFmtId="169" fontId="58" fillId="0" borderId="0" xfId="8" applyNumberFormat="1" applyFont="1" applyAlignment="1">
      <alignment horizontal="center"/>
    </xf>
    <xf numFmtId="0" fontId="58" fillId="0" borderId="0" xfId="8" applyFont="1"/>
    <xf numFmtId="3" fontId="16" fillId="0" borderId="34" xfId="8" applyNumberFormat="1" applyFont="1" applyBorder="1" applyAlignment="1">
      <alignment horizontal="center"/>
    </xf>
    <xf numFmtId="6" fontId="16" fillId="0" borderId="0" xfId="8" applyNumberFormat="1" applyFont="1" applyAlignment="1">
      <alignment horizontal="center"/>
    </xf>
    <xf numFmtId="169" fontId="16" fillId="0" borderId="37" xfId="6" applyNumberFormat="1" applyBorder="1"/>
    <xf numFmtId="0" fontId="16" fillId="0" borderId="35" xfId="6" applyBorder="1" applyAlignment="1">
      <alignment horizontal="center" vertical="center"/>
    </xf>
    <xf numFmtId="0" fontId="15" fillId="0" borderId="0" xfId="6" applyFont="1"/>
    <xf numFmtId="0" fontId="16" fillId="0" borderId="0" xfId="6" applyAlignment="1">
      <alignment horizontal="left"/>
    </xf>
    <xf numFmtId="0" fontId="0" fillId="0" borderId="35" xfId="0" applyBorder="1" applyAlignment="1">
      <alignment horizontal="left"/>
    </xf>
    <xf numFmtId="0" fontId="16" fillId="0" borderId="35" xfId="16" applyFont="1" applyBorder="1" applyAlignment="1">
      <alignment horizontal="left" wrapText="1"/>
    </xf>
    <xf numFmtId="0" fontId="21" fillId="0" borderId="35" xfId="12" applyFont="1" applyBorder="1" applyAlignment="1">
      <alignment horizontal="center" vertical="center" wrapText="1"/>
    </xf>
    <xf numFmtId="0" fontId="16" fillId="17" borderId="35" xfId="6" applyFill="1" applyBorder="1" applyAlignment="1">
      <alignment horizontal="center" vertical="center" wrapText="1"/>
    </xf>
    <xf numFmtId="169" fontId="58" fillId="17" borderId="34" xfId="8" applyNumberFormat="1" applyFont="1" applyFill="1" applyBorder="1" applyAlignment="1">
      <alignment horizontal="center"/>
    </xf>
    <xf numFmtId="169" fontId="58" fillId="17" borderId="0" xfId="8" applyNumberFormat="1" applyFont="1" applyFill="1" applyAlignment="1">
      <alignment horizontal="left"/>
    </xf>
    <xf numFmtId="0" fontId="16" fillId="17" borderId="0" xfId="8" applyFont="1" applyFill="1"/>
    <xf numFmtId="0" fontId="94" fillId="0" borderId="0" xfId="0" applyFont="1"/>
    <xf numFmtId="0" fontId="93" fillId="0" borderId="35" xfId="0" quotePrefix="1" applyFont="1" applyBorder="1"/>
    <xf numFmtId="169" fontId="93" fillId="0" borderId="35" xfId="0" applyNumberFormat="1" applyFont="1" applyBorder="1" applyAlignment="1">
      <alignment horizontal="center" wrapText="1"/>
    </xf>
    <xf numFmtId="169" fontId="94" fillId="0" borderId="35" xfId="0" applyNumberFormat="1" applyFont="1" applyBorder="1" applyAlignment="1">
      <alignment horizontal="center" wrapText="1"/>
    </xf>
    <xf numFmtId="169" fontId="93" fillId="0" borderId="35" xfId="0" applyNumberFormat="1" applyFont="1" applyBorder="1" applyAlignment="1">
      <alignment horizontal="center"/>
    </xf>
    <xf numFmtId="169" fontId="94" fillId="0" borderId="35" xfId="0" applyNumberFormat="1" applyFont="1" applyBorder="1" applyAlignment="1">
      <alignment horizontal="center"/>
    </xf>
    <xf numFmtId="0" fontId="95" fillId="0" borderId="35" xfId="0" applyFont="1" applyBorder="1" applyAlignment="1">
      <alignment horizontal="center" wrapText="1"/>
    </xf>
    <xf numFmtId="0" fontId="95" fillId="0" borderId="35" xfId="0" applyFont="1" applyBorder="1" applyAlignment="1">
      <alignment horizontal="left"/>
    </xf>
    <xf numFmtId="1" fontId="79" fillId="16" borderId="0" xfId="17" applyNumberFormat="1" applyFont="1" applyFill="1" applyAlignment="1">
      <alignment horizontal="center" wrapText="1"/>
    </xf>
    <xf numFmtId="0" fontId="16" fillId="16" borderId="0" xfId="16" applyFont="1" applyFill="1" applyAlignment="1">
      <alignment horizontal="center" wrapText="1"/>
    </xf>
    <xf numFmtId="1" fontId="79" fillId="30" borderId="0" xfId="17" applyNumberFormat="1" applyFont="1" applyFill="1" applyAlignment="1">
      <alignment horizontal="center" wrapText="1"/>
    </xf>
    <xf numFmtId="0" fontId="16" fillId="30" borderId="0" xfId="16" applyFont="1" applyFill="1" applyAlignment="1">
      <alignment horizontal="center" wrapText="1"/>
    </xf>
    <xf numFmtId="0" fontId="38" fillId="0" borderId="0" xfId="0" applyFont="1" applyAlignment="1">
      <alignment horizontal="center"/>
    </xf>
    <xf numFmtId="0" fontId="38" fillId="8" borderId="0" xfId="0" applyFont="1" applyFill="1" applyAlignment="1">
      <alignment horizontal="center"/>
    </xf>
    <xf numFmtId="0" fontId="86" fillId="8" borderId="0" xfId="0" applyFont="1" applyFill="1" applyAlignment="1">
      <alignment horizontal="center"/>
    </xf>
    <xf numFmtId="0" fontId="38" fillId="0" borderId="0" xfId="0" applyFont="1"/>
    <xf numFmtId="0" fontId="38" fillId="0" borderId="0" xfId="0" applyFont="1" applyAlignment="1">
      <alignment horizontal="center" vertical="center"/>
    </xf>
    <xf numFmtId="0" fontId="38" fillId="0" borderId="0" xfId="0" applyFont="1" applyAlignment="1">
      <alignment horizontal="center" vertical="center" wrapText="1"/>
    </xf>
    <xf numFmtId="169" fontId="16" fillId="0" borderId="35" xfId="8" applyNumberFormat="1" applyFont="1" applyBorder="1" applyAlignment="1">
      <alignment horizontal="center" vertical="center" wrapText="1"/>
    </xf>
    <xf numFmtId="0" fontId="16" fillId="0" borderId="43" xfId="8" applyFont="1" applyBorder="1"/>
    <xf numFmtId="3" fontId="16" fillId="0" borderId="35" xfId="8" applyNumberFormat="1" applyFont="1" applyBorder="1" applyAlignment="1">
      <alignment horizontal="center"/>
    </xf>
    <xf numFmtId="169" fontId="16" fillId="31" borderId="35" xfId="8" applyNumberFormat="1" applyFont="1" applyFill="1" applyBorder="1" applyAlignment="1">
      <alignment horizontal="center"/>
    </xf>
    <xf numFmtId="0" fontId="0" fillId="8" borderId="0" xfId="0" applyFill="1" applyProtection="1">
      <protection hidden="1"/>
    </xf>
    <xf numFmtId="0" fontId="86" fillId="13" borderId="48" xfId="0" applyFont="1" applyFill="1" applyBorder="1" applyAlignment="1" applyProtection="1">
      <alignment horizontal="center" vertical="center" wrapText="1"/>
      <protection hidden="1"/>
    </xf>
    <xf numFmtId="0" fontId="86" fillId="13" borderId="49" xfId="0" applyFont="1" applyFill="1" applyBorder="1" applyAlignment="1" applyProtection="1">
      <alignment horizontal="center" vertical="center" wrapText="1"/>
      <protection hidden="1"/>
    </xf>
    <xf numFmtId="0" fontId="32" fillId="8" borderId="7" xfId="0" applyFont="1" applyFill="1" applyBorder="1" applyProtection="1">
      <protection hidden="1"/>
    </xf>
    <xf numFmtId="0" fontId="32" fillId="8" borderId="0" xfId="0" applyFont="1" applyFill="1" applyProtection="1">
      <protection hidden="1"/>
    </xf>
    <xf numFmtId="17" fontId="32" fillId="8" borderId="0" xfId="0" applyNumberFormat="1" applyFont="1" applyFill="1" applyProtection="1">
      <protection hidden="1"/>
    </xf>
    <xf numFmtId="4" fontId="32" fillId="8" borderId="0" xfId="0" applyNumberFormat="1" applyFont="1" applyFill="1" applyAlignment="1" applyProtection="1">
      <alignment horizontal="right"/>
      <protection hidden="1"/>
    </xf>
    <xf numFmtId="4" fontId="32" fillId="8" borderId="0" xfId="0" applyNumberFormat="1" applyFont="1" applyFill="1" applyProtection="1">
      <protection hidden="1"/>
    </xf>
    <xf numFmtId="176" fontId="32" fillId="8" borderId="8" xfId="0" applyNumberFormat="1" applyFont="1" applyFill="1" applyBorder="1" applyProtection="1">
      <protection hidden="1"/>
    </xf>
    <xf numFmtId="4" fontId="32" fillId="8" borderId="0" xfId="0" applyNumberFormat="1" applyFont="1" applyFill="1" applyAlignment="1" applyProtection="1">
      <alignment horizontal="center"/>
      <protection hidden="1"/>
    </xf>
    <xf numFmtId="3" fontId="32" fillId="8" borderId="0" xfId="0" applyNumberFormat="1" applyFont="1" applyFill="1" applyAlignment="1" applyProtection="1">
      <alignment horizontal="center"/>
      <protection hidden="1"/>
    </xf>
    <xf numFmtId="176" fontId="32" fillId="8" borderId="8" xfId="0" applyNumberFormat="1" applyFont="1" applyFill="1" applyBorder="1" applyAlignment="1" applyProtection="1">
      <alignment horizontal="center"/>
      <protection hidden="1"/>
    </xf>
    <xf numFmtId="0" fontId="85" fillId="13" borderId="52" xfId="0" applyFont="1" applyFill="1" applyBorder="1" applyProtection="1">
      <protection hidden="1"/>
    </xf>
    <xf numFmtId="0" fontId="85" fillId="13" borderId="37" xfId="0" quotePrefix="1" applyFont="1" applyFill="1" applyBorder="1" applyProtection="1">
      <protection hidden="1"/>
    </xf>
    <xf numFmtId="0" fontId="85" fillId="13" borderId="37" xfId="0" applyFont="1" applyFill="1" applyBorder="1" applyProtection="1">
      <protection hidden="1"/>
    </xf>
    <xf numFmtId="17" fontId="85" fillId="13" borderId="37" xfId="0" applyNumberFormat="1" applyFont="1" applyFill="1" applyBorder="1" applyProtection="1">
      <protection hidden="1"/>
    </xf>
    <xf numFmtId="4" fontId="85" fillId="13" borderId="37" xfId="0" applyNumberFormat="1" applyFont="1" applyFill="1" applyBorder="1" applyAlignment="1" applyProtection="1">
      <alignment horizontal="center"/>
      <protection hidden="1"/>
    </xf>
    <xf numFmtId="3" fontId="85" fillId="13" borderId="37" xfId="0" applyNumberFormat="1" applyFont="1" applyFill="1" applyBorder="1" applyProtection="1">
      <protection hidden="1"/>
    </xf>
    <xf numFmtId="176" fontId="85" fillId="13" borderId="51" xfId="15" applyNumberFormat="1" applyFont="1" applyFill="1" applyBorder="1" applyAlignment="1" applyProtection="1">
      <alignment horizontal="center"/>
      <protection hidden="1"/>
    </xf>
    <xf numFmtId="4" fontId="86" fillId="13" borderId="48" xfId="0" applyNumberFormat="1" applyFont="1" applyFill="1" applyBorder="1" applyAlignment="1" applyProtection="1">
      <alignment horizontal="center" vertical="center" wrapText="1"/>
      <protection hidden="1"/>
    </xf>
    <xf numFmtId="3" fontId="86" fillId="13" borderId="49" xfId="0" applyNumberFormat="1" applyFont="1" applyFill="1" applyBorder="1" applyAlignment="1" applyProtection="1">
      <alignment horizontal="center" vertical="center" wrapText="1"/>
      <protection hidden="1"/>
    </xf>
    <xf numFmtId="0" fontId="32" fillId="8" borderId="0" xfId="0" quotePrefix="1" applyFont="1" applyFill="1" applyProtection="1">
      <protection hidden="1"/>
    </xf>
    <xf numFmtId="3" fontId="32" fillId="8" borderId="8" xfId="0" applyNumberFormat="1" applyFont="1" applyFill="1" applyBorder="1" applyProtection="1">
      <protection hidden="1"/>
    </xf>
    <xf numFmtId="3" fontId="32" fillId="8" borderId="0" xfId="0" applyNumberFormat="1" applyFont="1" applyFill="1" applyProtection="1">
      <protection hidden="1"/>
    </xf>
    <xf numFmtId="0" fontId="38" fillId="13" borderId="37" xfId="0" applyFont="1" applyFill="1" applyBorder="1" applyProtection="1">
      <protection hidden="1"/>
    </xf>
    <xf numFmtId="17" fontId="38" fillId="13" borderId="37" xfId="0" applyNumberFormat="1" applyFont="1" applyFill="1" applyBorder="1" applyProtection="1">
      <protection hidden="1"/>
    </xf>
    <xf numFmtId="3" fontId="38" fillId="13" borderId="37" xfId="0" applyNumberFormat="1" applyFont="1" applyFill="1" applyBorder="1" applyProtection="1">
      <protection hidden="1"/>
    </xf>
    <xf numFmtId="176" fontId="85" fillId="13" borderId="51" xfId="0" applyNumberFormat="1" applyFont="1" applyFill="1" applyBorder="1" applyAlignment="1" applyProtection="1">
      <alignment horizontal="center"/>
      <protection hidden="1"/>
    </xf>
    <xf numFmtId="3" fontId="86" fillId="13" borderId="50" xfId="0" applyNumberFormat="1" applyFont="1" applyFill="1" applyBorder="1" applyAlignment="1" applyProtection="1">
      <alignment horizontal="center" vertical="center" wrapText="1"/>
      <protection hidden="1"/>
    </xf>
    <xf numFmtId="0" fontId="32" fillId="8" borderId="1" xfId="0" applyFont="1" applyFill="1" applyBorder="1" applyProtection="1">
      <protection hidden="1"/>
    </xf>
    <xf numFmtId="0" fontId="32" fillId="8" borderId="2" xfId="0" quotePrefix="1" applyFont="1" applyFill="1" applyBorder="1" applyProtection="1">
      <protection hidden="1"/>
    </xf>
    <xf numFmtId="0" fontId="32" fillId="8" borderId="2" xfId="0" applyFont="1" applyFill="1" applyBorder="1" applyProtection="1">
      <protection hidden="1"/>
    </xf>
    <xf numFmtId="4" fontId="32" fillId="8" borderId="2" xfId="0" applyNumberFormat="1" applyFont="1" applyFill="1" applyBorder="1" applyProtection="1">
      <protection hidden="1"/>
    </xf>
    <xf numFmtId="3" fontId="32" fillId="8" borderId="3" xfId="0" applyNumberFormat="1" applyFont="1" applyFill="1" applyBorder="1" applyProtection="1">
      <protection hidden="1"/>
    </xf>
    <xf numFmtId="0" fontId="85" fillId="8" borderId="7" xfId="0" applyFont="1" applyFill="1" applyBorder="1" applyProtection="1">
      <protection hidden="1"/>
    </xf>
    <xf numFmtId="0" fontId="38" fillId="8" borderId="0" xfId="0" applyFont="1" applyFill="1" applyProtection="1">
      <protection hidden="1"/>
    </xf>
    <xf numFmtId="17" fontId="38" fillId="8" borderId="0" xfId="0" applyNumberFormat="1" applyFont="1" applyFill="1" applyProtection="1">
      <protection hidden="1"/>
    </xf>
    <xf numFmtId="4" fontId="38" fillId="8" borderId="0" xfId="0" applyNumberFormat="1" applyFont="1" applyFill="1" applyProtection="1">
      <protection hidden="1"/>
    </xf>
    <xf numFmtId="3" fontId="38" fillId="8" borderId="0" xfId="0" applyNumberFormat="1" applyFont="1" applyFill="1" applyProtection="1">
      <protection hidden="1"/>
    </xf>
    <xf numFmtId="4" fontId="38" fillId="13" borderId="37" xfId="0" applyNumberFormat="1" applyFont="1" applyFill="1" applyBorder="1" applyProtection="1">
      <protection hidden="1"/>
    </xf>
    <xf numFmtId="16" fontId="32" fillId="8" borderId="0" xfId="0" applyNumberFormat="1" applyFont="1" applyFill="1" applyProtection="1">
      <protection hidden="1"/>
    </xf>
    <xf numFmtId="0" fontId="13" fillId="8" borderId="0" xfId="0" quotePrefix="1" applyFont="1" applyFill="1" applyProtection="1">
      <protection hidden="1"/>
    </xf>
    <xf numFmtId="0" fontId="85" fillId="13" borderId="27" xfId="0" applyFont="1" applyFill="1" applyBorder="1" applyProtection="1">
      <protection hidden="1"/>
    </xf>
    <xf numFmtId="0" fontId="85" fillId="13" borderId="28" xfId="0" quotePrefix="1" applyFont="1" applyFill="1" applyBorder="1" applyProtection="1">
      <protection hidden="1"/>
    </xf>
    <xf numFmtId="0" fontId="85" fillId="13" borderId="28" xfId="0" applyFont="1" applyFill="1" applyBorder="1" applyProtection="1">
      <protection hidden="1"/>
    </xf>
    <xf numFmtId="17" fontId="85" fillId="13" borderId="28" xfId="0" applyNumberFormat="1" applyFont="1" applyFill="1" applyBorder="1" applyProtection="1">
      <protection hidden="1"/>
    </xf>
    <xf numFmtId="4" fontId="85" fillId="13" borderId="28" xfId="0" applyNumberFormat="1" applyFont="1" applyFill="1" applyBorder="1" applyAlignment="1" applyProtection="1">
      <alignment horizontal="center"/>
      <protection hidden="1"/>
    </xf>
    <xf numFmtId="3" fontId="85" fillId="13" borderId="28" xfId="0" applyNumberFormat="1" applyFont="1" applyFill="1" applyBorder="1" applyProtection="1">
      <protection hidden="1"/>
    </xf>
    <xf numFmtId="176" fontId="85" fillId="13" borderId="29" xfId="15" applyNumberFormat="1" applyFont="1" applyFill="1" applyBorder="1" applyAlignment="1" applyProtection="1">
      <alignment horizontal="center"/>
      <protection hidden="1"/>
    </xf>
    <xf numFmtId="0" fontId="72" fillId="8" borderId="12" xfId="0" applyFont="1" applyFill="1" applyBorder="1" applyProtection="1">
      <protection hidden="1"/>
    </xf>
    <xf numFmtId="0" fontId="72" fillId="8" borderId="13" xfId="0" applyFont="1" applyFill="1" applyBorder="1" applyProtection="1">
      <protection hidden="1"/>
    </xf>
    <xf numFmtId="4" fontId="72" fillId="8" borderId="13" xfId="0" applyNumberFormat="1" applyFont="1" applyFill="1" applyBorder="1" applyProtection="1">
      <protection hidden="1"/>
    </xf>
    <xf numFmtId="3" fontId="72" fillId="8" borderId="13" xfId="0" applyNumberFormat="1" applyFont="1" applyFill="1" applyBorder="1" applyProtection="1">
      <protection hidden="1"/>
    </xf>
    <xf numFmtId="176" fontId="72" fillId="8" borderId="14" xfId="0" applyNumberFormat="1" applyFont="1" applyFill="1" applyBorder="1" applyProtection="1">
      <protection hidden="1"/>
    </xf>
    <xf numFmtId="0" fontId="32" fillId="13" borderId="27" xfId="0" applyFont="1" applyFill="1" applyBorder="1" applyProtection="1">
      <protection hidden="1"/>
    </xf>
    <xf numFmtId="0" fontId="32" fillId="13" borderId="28" xfId="0" applyFont="1" applyFill="1" applyBorder="1" applyProtection="1">
      <protection hidden="1"/>
    </xf>
    <xf numFmtId="17" fontId="32" fillId="13" borderId="28" xfId="0" applyNumberFormat="1" applyFont="1" applyFill="1" applyBorder="1" applyProtection="1">
      <protection hidden="1"/>
    </xf>
    <xf numFmtId="4" fontId="32" fillId="13" borderId="28" xfId="0" applyNumberFormat="1" applyFont="1" applyFill="1" applyBorder="1" applyProtection="1">
      <protection hidden="1"/>
    </xf>
    <xf numFmtId="3" fontId="32" fillId="13" borderId="28" xfId="0" applyNumberFormat="1" applyFont="1" applyFill="1" applyBorder="1" applyProtection="1">
      <protection hidden="1"/>
    </xf>
    <xf numFmtId="176" fontId="32" fillId="13" borderId="29" xfId="20" applyNumberFormat="1" applyFont="1" applyFill="1" applyBorder="1" applyAlignment="1" applyProtection="1">
      <alignment horizontal="center" vertical="center"/>
      <protection hidden="1"/>
    </xf>
    <xf numFmtId="176" fontId="32" fillId="13" borderId="29" xfId="20" applyNumberFormat="1" applyFont="1" applyFill="1" applyBorder="1" applyAlignment="1" applyProtection="1">
      <alignment vertical="center"/>
      <protection hidden="1"/>
    </xf>
    <xf numFmtId="0" fontId="72" fillId="8" borderId="37" xfId="0" applyFont="1" applyFill="1" applyBorder="1" applyProtection="1">
      <protection hidden="1"/>
    </xf>
    <xf numFmtId="17" fontId="72" fillId="8" borderId="37" xfId="0" applyNumberFormat="1" applyFont="1" applyFill="1" applyBorder="1" applyProtection="1">
      <protection hidden="1"/>
    </xf>
    <xf numFmtId="4" fontId="72" fillId="8" borderId="37" xfId="0" applyNumberFormat="1" applyFont="1" applyFill="1" applyBorder="1" applyProtection="1">
      <protection hidden="1"/>
    </xf>
    <xf numFmtId="176" fontId="72" fillId="8" borderId="51" xfId="0" applyNumberFormat="1" applyFont="1" applyFill="1" applyBorder="1" applyProtection="1">
      <protection hidden="1"/>
    </xf>
    <xf numFmtId="0" fontId="84" fillId="13" borderId="45" xfId="0" applyFont="1" applyFill="1" applyBorder="1" applyProtection="1">
      <protection hidden="1"/>
    </xf>
    <xf numFmtId="0" fontId="88" fillId="13" borderId="46" xfId="0" applyFont="1" applyFill="1" applyBorder="1" applyProtection="1">
      <protection hidden="1"/>
    </xf>
    <xf numFmtId="176" fontId="84" fillId="13" borderId="50" xfId="15" applyNumberFormat="1" applyFont="1" applyFill="1" applyBorder="1" applyAlignment="1" applyProtection="1">
      <alignment horizontal="center"/>
      <protection hidden="1"/>
    </xf>
    <xf numFmtId="0" fontId="72" fillId="0" borderId="0" xfId="0" applyFont="1" applyProtection="1">
      <protection hidden="1"/>
    </xf>
    <xf numFmtId="0" fontId="38" fillId="0" borderId="0" xfId="0" applyFont="1" applyAlignment="1" applyProtection="1">
      <alignment horizontal="center"/>
      <protection hidden="1"/>
    </xf>
    <xf numFmtId="1" fontId="72" fillId="0" borderId="0" xfId="0" applyNumberFormat="1" applyFont="1" applyAlignment="1" applyProtection="1">
      <alignment horizontal="center"/>
      <protection hidden="1"/>
    </xf>
    <xf numFmtId="169" fontId="72" fillId="0" borderId="0" xfId="0" applyNumberFormat="1" applyFont="1" applyAlignment="1" applyProtection="1">
      <alignment horizontal="center"/>
      <protection hidden="1"/>
    </xf>
    <xf numFmtId="169" fontId="72" fillId="0" borderId="37" xfId="0" applyNumberFormat="1" applyFont="1" applyBorder="1" applyAlignment="1" applyProtection="1">
      <alignment horizontal="center"/>
      <protection hidden="1"/>
    </xf>
    <xf numFmtId="10" fontId="72" fillId="0" borderId="0" xfId="11" applyNumberFormat="1" applyFont="1" applyAlignment="1" applyProtection="1">
      <alignment horizontal="center"/>
      <protection hidden="1"/>
    </xf>
    <xf numFmtId="176" fontId="72" fillId="0" borderId="0" xfId="0" applyNumberFormat="1" applyFont="1" applyAlignment="1" applyProtection="1">
      <alignment horizontal="center"/>
      <protection hidden="1"/>
    </xf>
    <xf numFmtId="10" fontId="72" fillId="0" borderId="0" xfId="11" applyNumberFormat="1" applyFont="1" applyFill="1" applyAlignment="1" applyProtection="1">
      <alignment horizontal="center"/>
      <protection hidden="1"/>
    </xf>
    <xf numFmtId="0" fontId="16" fillId="18" borderId="0" xfId="6" applyFill="1" applyAlignment="1">
      <alignment horizontal="center"/>
    </xf>
    <xf numFmtId="173" fontId="16" fillId="0" borderId="0" xfId="6" applyNumberFormat="1"/>
    <xf numFmtId="1" fontId="16" fillId="14" borderId="0" xfId="8" applyNumberFormat="1" applyFont="1" applyFill="1" applyAlignment="1">
      <alignment horizontal="center"/>
    </xf>
    <xf numFmtId="0" fontId="16" fillId="32" borderId="0" xfId="16" applyFont="1" applyFill="1" applyAlignment="1">
      <alignment horizontal="center" wrapText="1"/>
    </xf>
    <xf numFmtId="6" fontId="16" fillId="0" borderId="0" xfId="6" applyNumberFormat="1"/>
    <xf numFmtId="0" fontId="16" fillId="0" borderId="0" xfId="6" applyAlignment="1">
      <alignment horizontal="center" vertical="center"/>
    </xf>
    <xf numFmtId="174" fontId="72" fillId="0" borderId="0" xfId="0" applyNumberFormat="1" applyFont="1" applyProtection="1">
      <protection hidden="1"/>
    </xf>
    <xf numFmtId="176" fontId="72" fillId="0" borderId="0" xfId="0" applyNumberFormat="1" applyFont="1" applyProtection="1">
      <protection hidden="1"/>
    </xf>
    <xf numFmtId="0" fontId="72" fillId="0" borderId="0" xfId="0" applyFont="1" applyAlignment="1" applyProtection="1">
      <alignment horizontal="right"/>
      <protection hidden="1"/>
    </xf>
    <xf numFmtId="1" fontId="79" fillId="32" borderId="0" xfId="17" applyNumberFormat="1" applyFont="1" applyFill="1" applyAlignment="1">
      <alignment horizontal="center" wrapText="1"/>
    </xf>
    <xf numFmtId="1" fontId="16" fillId="32" borderId="0" xfId="16" applyNumberFormat="1" applyFont="1" applyFill="1" applyAlignment="1">
      <alignment horizontal="center" wrapText="1"/>
    </xf>
    <xf numFmtId="0" fontId="53" fillId="0" borderId="0" xfId="13" applyFont="1" applyAlignment="1">
      <alignment horizontal="center" wrapText="1"/>
    </xf>
    <xf numFmtId="0" fontId="81" fillId="8" borderId="38" xfId="0" applyFont="1" applyFill="1" applyBorder="1" applyAlignment="1">
      <alignment horizontal="center" vertical="center"/>
    </xf>
    <xf numFmtId="0" fontId="81" fillId="8" borderId="39" xfId="0" applyFont="1" applyFill="1" applyBorder="1" applyAlignment="1">
      <alignment horizontal="center" vertical="center"/>
    </xf>
    <xf numFmtId="0" fontId="81" fillId="8" borderId="40" xfId="0" applyFont="1" applyFill="1" applyBorder="1" applyAlignment="1">
      <alignment horizontal="center" vertical="center"/>
    </xf>
    <xf numFmtId="0" fontId="83" fillId="8" borderId="41" xfId="0" applyFont="1" applyFill="1" applyBorder="1" applyAlignment="1" applyProtection="1">
      <alignment horizontal="center" vertical="center"/>
      <protection locked="0"/>
    </xf>
    <xf numFmtId="0" fontId="83" fillId="8" borderId="42" xfId="0" applyFont="1" applyFill="1" applyBorder="1" applyAlignment="1" applyProtection="1">
      <alignment horizontal="center" vertical="center"/>
      <protection locked="0"/>
    </xf>
    <xf numFmtId="0" fontId="84" fillId="8" borderId="43" xfId="0" applyFont="1" applyFill="1" applyBorder="1" applyAlignment="1" applyProtection="1">
      <alignment horizontal="center" vertical="center"/>
      <protection hidden="1"/>
    </xf>
    <xf numFmtId="0" fontId="84" fillId="8" borderId="28" xfId="0" applyFont="1" applyFill="1" applyBorder="1" applyAlignment="1" applyProtection="1">
      <alignment horizontal="center" vertical="center"/>
      <protection hidden="1"/>
    </xf>
    <xf numFmtId="0" fontId="84" fillId="8" borderId="44" xfId="0" applyFont="1" applyFill="1" applyBorder="1" applyAlignment="1" applyProtection="1">
      <alignment horizontal="center" vertical="center"/>
      <protection hidden="1"/>
    </xf>
    <xf numFmtId="0" fontId="84" fillId="8" borderId="43" xfId="0" quotePrefix="1" applyFont="1" applyFill="1" applyBorder="1" applyAlignment="1" applyProtection="1">
      <alignment horizontal="center" vertical="center"/>
      <protection hidden="1"/>
    </xf>
    <xf numFmtId="0" fontId="84" fillId="8" borderId="28" xfId="0" quotePrefix="1" applyFont="1" applyFill="1" applyBorder="1" applyAlignment="1" applyProtection="1">
      <alignment horizontal="center" vertical="center"/>
      <protection hidden="1"/>
    </xf>
    <xf numFmtId="0" fontId="84" fillId="8" borderId="44" xfId="0" quotePrefix="1" applyFont="1" applyFill="1" applyBorder="1" applyAlignment="1" applyProtection="1">
      <alignment horizontal="center" vertical="center"/>
      <protection hidden="1"/>
    </xf>
    <xf numFmtId="0" fontId="72" fillId="0" borderId="0" xfId="0" applyFont="1" applyAlignment="1" applyProtection="1">
      <alignment horizontal="left" vertical="center" wrapText="1"/>
      <protection hidden="1"/>
    </xf>
    <xf numFmtId="0" fontId="38" fillId="0" borderId="0" xfId="0" applyFont="1" applyAlignment="1" applyProtection="1">
      <alignment horizontal="center"/>
      <protection hidden="1"/>
    </xf>
    <xf numFmtId="0" fontId="84" fillId="8" borderId="0" xfId="0" applyFont="1" applyFill="1" applyAlignment="1" applyProtection="1">
      <alignment horizontal="center"/>
      <protection hidden="1"/>
    </xf>
    <xf numFmtId="0" fontId="85" fillId="13" borderId="45" xfId="0" applyFont="1" applyFill="1" applyBorder="1" applyAlignment="1" applyProtection="1">
      <alignment horizontal="center" vertical="center" wrapText="1"/>
      <protection hidden="1"/>
    </xf>
    <xf numFmtId="0" fontId="85" fillId="13" borderId="46" xfId="0" applyFont="1" applyFill="1" applyBorder="1" applyAlignment="1" applyProtection="1">
      <alignment horizontal="center" vertical="center" wrapText="1"/>
      <protection hidden="1"/>
    </xf>
    <xf numFmtId="0" fontId="85" fillId="13" borderId="47" xfId="0" applyFont="1" applyFill="1" applyBorder="1" applyAlignment="1" applyProtection="1">
      <alignment horizontal="center" vertical="center" wrapText="1"/>
      <protection hidden="1"/>
    </xf>
    <xf numFmtId="0" fontId="89" fillId="0" borderId="0" xfId="0" applyFont="1" applyAlignment="1" applyProtection="1">
      <alignment horizontal="center"/>
      <protection hidden="1"/>
    </xf>
    <xf numFmtId="0" fontId="92" fillId="0" borderId="0" xfId="0" applyFont="1" applyAlignment="1" applyProtection="1">
      <alignment horizontal="left"/>
      <protection hidden="1"/>
    </xf>
    <xf numFmtId="0" fontId="92" fillId="0" borderId="0" xfId="0" applyFont="1" applyAlignment="1" applyProtection="1">
      <alignment horizontal="center"/>
      <protection hidden="1"/>
    </xf>
    <xf numFmtId="0" fontId="72" fillId="0" borderId="0" xfId="0" applyFont="1" applyAlignment="1" applyProtection="1">
      <alignment horizontal="left"/>
      <protection hidden="1"/>
    </xf>
    <xf numFmtId="0" fontId="16" fillId="0" borderId="43" xfId="6" applyBorder="1" applyAlignment="1">
      <alignment horizontal="center" vertical="center" wrapText="1"/>
    </xf>
    <xf numFmtId="0" fontId="16" fillId="0" borderId="44" xfId="6" applyBorder="1" applyAlignment="1">
      <alignment horizontal="center" vertical="center" wrapText="1"/>
    </xf>
    <xf numFmtId="169" fontId="21" fillId="0" borderId="0" xfId="5" applyNumberFormat="1" applyFont="1" applyAlignment="1">
      <alignment horizontal="center" vertical="center"/>
    </xf>
    <xf numFmtId="0" fontId="16" fillId="0" borderId="5" xfId="8" applyFont="1" applyBorder="1" applyAlignment="1">
      <alignment horizontal="center"/>
    </xf>
    <xf numFmtId="0" fontId="16" fillId="0" borderId="0" xfId="8" applyFont="1" applyAlignment="1">
      <alignment horizontal="center"/>
    </xf>
    <xf numFmtId="0" fontId="16" fillId="16" borderId="0" xfId="8" applyFont="1" applyFill="1" applyAlignment="1">
      <alignment horizontal="center"/>
    </xf>
    <xf numFmtId="0" fontId="16" fillId="20" borderId="0" xfId="8" applyFont="1" applyFill="1" applyAlignment="1">
      <alignment horizontal="center"/>
    </xf>
    <xf numFmtId="0" fontId="16" fillId="0" borderId="0" xfId="8" applyFont="1" applyAlignment="1">
      <alignment horizontal="center" wrapText="1"/>
    </xf>
    <xf numFmtId="0" fontId="72" fillId="0" borderId="0" xfId="13" applyFont="1" applyAlignment="1">
      <alignment horizontal="left" wrapText="1"/>
    </xf>
    <xf numFmtId="0" fontId="63" fillId="0" borderId="0" xfId="13" applyFont="1" applyAlignment="1">
      <alignment horizontal="center"/>
    </xf>
    <xf numFmtId="168" fontId="61" fillId="0" borderId="0" xfId="14" applyNumberFormat="1" applyFont="1" applyAlignment="1">
      <alignment horizontal="center"/>
    </xf>
    <xf numFmtId="0" fontId="61" fillId="0" borderId="0" xfId="13" applyFont="1" applyAlignment="1">
      <alignment horizontal="center"/>
    </xf>
    <xf numFmtId="0" fontId="16" fillId="0" borderId="0" xfId="0" applyFont="1" applyAlignment="1">
      <alignment horizontal="left" vertical="center" wrapText="1"/>
    </xf>
    <xf numFmtId="0" fontId="21" fillId="22" borderId="0" xfId="0" applyFont="1" applyFill="1" applyAlignment="1">
      <alignment horizontal="center"/>
    </xf>
    <xf numFmtId="167" fontId="7" fillId="6" borderId="2" xfId="0" applyNumberFormat="1" applyFont="1" applyFill="1" applyBorder="1" applyAlignment="1">
      <alignment horizontal="center"/>
    </xf>
    <xf numFmtId="167" fontId="7" fillId="6" borderId="3" xfId="0" applyNumberFormat="1" applyFont="1" applyFill="1" applyBorder="1" applyAlignment="1">
      <alignment horizontal="center"/>
    </xf>
    <xf numFmtId="0" fontId="7" fillId="6" borderId="1" xfId="0" applyFont="1" applyFill="1" applyBorder="1" applyAlignment="1">
      <alignment horizontal="center"/>
    </xf>
    <xf numFmtId="0" fontId="7" fillId="6" borderId="2" xfId="0" applyFont="1" applyFill="1" applyBorder="1" applyAlignment="1">
      <alignment horizontal="center"/>
    </xf>
    <xf numFmtId="0" fontId="7" fillId="6" borderId="3" xfId="0" applyFont="1" applyFill="1" applyBorder="1" applyAlignment="1">
      <alignment horizontal="center"/>
    </xf>
    <xf numFmtId="0" fontId="7" fillId="9" borderId="19" xfId="0" applyFont="1" applyFill="1" applyBorder="1" applyAlignment="1">
      <alignment horizontal="left"/>
    </xf>
    <xf numFmtId="0" fontId="7" fillId="9" borderId="0" xfId="0" applyFont="1" applyFill="1" applyAlignment="1">
      <alignment horizontal="left"/>
    </xf>
    <xf numFmtId="0" fontId="33" fillId="0" borderId="0" xfId="0" applyFont="1" applyAlignment="1">
      <alignment vertical="top" wrapText="1"/>
    </xf>
    <xf numFmtId="0" fontId="9" fillId="4" borderId="27" xfId="2" applyFont="1" applyFill="1" applyBorder="1" applyAlignment="1">
      <alignment wrapText="1"/>
    </xf>
    <xf numFmtId="0" fontId="5" fillId="0" borderId="28" xfId="2" applyBorder="1" applyAlignment="1">
      <alignment wrapText="1"/>
    </xf>
    <xf numFmtId="0" fontId="5" fillId="0" borderId="29" xfId="2" applyBorder="1" applyAlignment="1">
      <alignment wrapText="1"/>
    </xf>
    <xf numFmtId="167" fontId="15" fillId="9" borderId="1" xfId="2" applyNumberFormat="1" applyFont="1" applyFill="1" applyBorder="1" applyAlignment="1">
      <alignment horizontal="center"/>
    </xf>
    <xf numFmtId="167" fontId="15" fillId="9" borderId="2" xfId="2" applyNumberFormat="1" applyFont="1" applyFill="1" applyBorder="1" applyAlignment="1">
      <alignment horizontal="center"/>
    </xf>
    <xf numFmtId="167" fontId="15" fillId="9" borderId="3" xfId="2" applyNumberFormat="1" applyFont="1" applyFill="1" applyBorder="1" applyAlignment="1">
      <alignment horizontal="center"/>
    </xf>
    <xf numFmtId="0" fontId="15" fillId="9" borderId="7" xfId="2" applyFont="1" applyFill="1" applyBorder="1" applyAlignment="1">
      <alignment horizontal="center"/>
    </xf>
    <xf numFmtId="0" fontId="15" fillId="9" borderId="0" xfId="2" applyFont="1" applyFill="1" applyAlignment="1">
      <alignment horizontal="center"/>
    </xf>
    <xf numFmtId="0" fontId="15" fillId="9" borderId="8" xfId="2" applyFont="1" applyFill="1" applyBorder="1" applyAlignment="1">
      <alignment horizontal="center"/>
    </xf>
    <xf numFmtId="167" fontId="9" fillId="4" borderId="30" xfId="3" applyFont="1" applyFill="1" applyBorder="1" applyAlignment="1">
      <alignment wrapText="1"/>
    </xf>
    <xf numFmtId="167" fontId="40" fillId="4" borderId="31" xfId="3" applyFont="1" applyFill="1" applyBorder="1"/>
    <xf numFmtId="167" fontId="40" fillId="4" borderId="32" xfId="3" applyFont="1" applyFill="1" applyBorder="1"/>
    <xf numFmtId="166" fontId="13" fillId="8" borderId="7" xfId="3" applyNumberFormat="1" applyFont="1" applyFill="1" applyBorder="1" applyAlignment="1">
      <alignment horizontal="center"/>
    </xf>
    <xf numFmtId="166" fontId="13" fillId="8" borderId="0" xfId="3" applyNumberFormat="1" applyFont="1" applyFill="1" applyAlignment="1">
      <alignment horizontal="center"/>
    </xf>
    <xf numFmtId="167" fontId="13" fillId="8" borderId="7" xfId="3" applyFont="1" applyFill="1" applyBorder="1" applyAlignment="1">
      <alignment horizontal="center"/>
    </xf>
    <xf numFmtId="167" fontId="13" fillId="8" borderId="0" xfId="3" applyFont="1" applyFill="1" applyAlignment="1">
      <alignment horizontal="center"/>
    </xf>
  </cellXfs>
  <cellStyles count="21">
    <cellStyle name="Comma" xfId="15" builtinId="3"/>
    <cellStyle name="Comma 2" xfId="1" xr:uid="{777BAE31-7BC7-4F03-BE28-54449ED5925A}"/>
    <cellStyle name="Comma 3" xfId="14" xr:uid="{BF47B793-DDF1-4B57-94D7-196B4EDA142C}"/>
    <cellStyle name="Hyperlink" xfId="4" builtinId="8"/>
    <cellStyle name="Normal" xfId="0" builtinId="0"/>
    <cellStyle name="Normal 2" xfId="2" xr:uid="{9CCE26D8-F75C-4B58-BD84-D23EB6407102}"/>
    <cellStyle name="Normal 2 2" xfId="6" xr:uid="{D8236520-4886-407C-B6ED-7CDB68F9CBF8}"/>
    <cellStyle name="Normal 2 2 2" xfId="7" xr:uid="{CA5210BB-CD3C-4B5B-8892-151481943F58}"/>
    <cellStyle name="Normal 3" xfId="3" xr:uid="{5EBF5D10-583B-43B7-A882-C1DB1E47EB4C}"/>
    <cellStyle name="Normal 4" xfId="5" xr:uid="{F6B4EF33-0E77-4E2B-BA5A-3B8D0C4D4647}"/>
    <cellStyle name="Normal 5" xfId="12" xr:uid="{B7375411-2FEB-4157-86F8-D248464D39AD}"/>
    <cellStyle name="Normal 6" xfId="13" xr:uid="{38144EDF-6787-4BAC-A772-5D7A035F48CF}"/>
    <cellStyle name="Normal 7" xfId="19" xr:uid="{E4E5AC63-FC31-4FF6-B39D-A77104F92D26}"/>
    <cellStyle name="Normal 8" xfId="20" xr:uid="{BD84557D-756A-4270-AEF5-ACFD61D27242}"/>
    <cellStyle name="Normal_Sheet1" xfId="17" xr:uid="{3929CA81-F580-421D-B059-9685FE0867B2}"/>
    <cellStyle name="Normal_Special Schools - Band Descriptors" xfId="8" xr:uid="{1817D9C0-3056-4564-AE8D-813D592FB5EF}"/>
    <cellStyle name="Normal_Special Schools - Band Descriptors (Amended)" xfId="16" xr:uid="{C514E21D-FE1A-491B-BA75-6985054B8F9B}"/>
    <cellStyle name="Per cent" xfId="11" builtinId="5"/>
    <cellStyle name="Per cent 2" xfId="18" xr:uid="{462BE69B-E3BB-469B-A9B1-756C3D4CC563}"/>
    <cellStyle name="Percent 2" xfId="9" xr:uid="{C107E1B0-52CF-4D62-AD88-42F3D62A97A6}"/>
    <cellStyle name="Percent 2 2" xfId="10" xr:uid="{0F5AD44D-953B-42CF-96CB-7C22112F344F}"/>
  </cellStyles>
  <dxfs count="146">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fill>
        <patternFill patternType="solid">
          <fgColor indexed="64"/>
          <bgColor rgb="FFFFFF00"/>
        </patternFill>
      </fill>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68" formatCode="_-* #,##0_-;\-* #,##0_-;_-* &quot;-&quot;??_-;_-@_-"/>
      <fill>
        <patternFill>
          <fgColor indexed="64"/>
          <bgColor rgb="FFFFFF00"/>
        </patternFill>
      </fill>
    </dxf>
    <dxf>
      <font>
        <b/>
        <i val="0"/>
        <strike val="0"/>
        <condense val="0"/>
        <extend val="0"/>
        <outline val="0"/>
        <shadow val="0"/>
        <u val="none"/>
        <vertAlign val="baseline"/>
        <sz val="11"/>
        <color theme="4"/>
        <name val="Calibri"/>
        <family val="2"/>
        <scheme val="minor"/>
      </font>
      <numFmt numFmtId="175" formatCode="_-* #,##0.0_-;\-* #,##0.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0" formatCode="General"/>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strike val="0"/>
        <outline val="0"/>
        <shadow val="0"/>
        <u val="none"/>
        <vertAlign val="baseline"/>
        <sz val="11"/>
        <color theme="4"/>
        <name val="Calibri"/>
        <family val="2"/>
        <scheme val="minor"/>
      </font>
      <numFmt numFmtId="168" formatCode="_-* #,##0_-;\-* #,##0_-;_-* &quot;-&quot;??_-;_-@_-"/>
    </dxf>
    <dxf>
      <font>
        <b/>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1"/>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1"/>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1"/>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strike val="0"/>
        <condense val="0"/>
        <extend val="0"/>
        <outline val="0"/>
        <shadow val="0"/>
        <u val="none"/>
        <vertAlign val="baseline"/>
        <sz val="11"/>
        <color theme="4"/>
        <name val="Calibri"/>
        <family val="2"/>
        <scheme val="minor"/>
      </font>
      <numFmt numFmtId="168" formatCode="_-* #,##0_-;\-* #,##0_-;_-* &quot;-&quot;??_-;_-@_-"/>
      <fill>
        <patternFill patternType="solid">
          <fgColor indexed="64"/>
          <bgColor rgb="FFFF0000"/>
        </patternFill>
      </fill>
      <border diagonalUp="0" diagonalDown="0" outline="0">
        <left/>
        <right/>
        <top style="thin">
          <color indexed="64"/>
        </top>
        <bottom/>
      </border>
    </dxf>
    <dxf>
      <font>
        <b val="0"/>
        <i/>
        <strike val="0"/>
        <condense val="0"/>
        <extend val="0"/>
        <outline val="0"/>
        <shadow val="0"/>
        <u val="none"/>
        <vertAlign val="baseline"/>
        <sz val="11"/>
        <color theme="1"/>
        <name val="Calibri"/>
        <family val="2"/>
        <scheme val="minor"/>
      </font>
      <numFmt numFmtId="168" formatCode="_-* #,##0_-;\-* #,##0_-;_-* &quot;-&quot;??_-;_-@_-"/>
      <fill>
        <patternFill>
          <fgColor indexed="64"/>
          <bgColor rgb="FFFF0000"/>
        </patternFill>
      </fill>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font>
        <b val="0"/>
        <i val="0"/>
        <strike val="0"/>
        <condense val="0"/>
        <extend val="0"/>
        <outline val="0"/>
        <shadow val="0"/>
        <u val="none"/>
        <vertAlign val="baseline"/>
        <sz val="11"/>
        <color theme="5"/>
        <name val="Calibri"/>
        <family val="2"/>
        <scheme val="minor"/>
      </font>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168" formatCode="_-* #,##0_-;\-* #,##0_-;_-* &quot;-&quot;??_-;_-@_-"/>
      <border diagonalUp="0" diagonalDown="0" outline="0">
        <left/>
        <right/>
        <top style="thin">
          <color indexed="64"/>
        </top>
        <bottom/>
      </border>
    </dxf>
    <dxf>
      <numFmt numFmtId="168" formatCode="_-* #,##0_-;\-* #,##0_-;_-* &quot;-&quot;??_-;_-@_-"/>
    </dxf>
    <dxf>
      <font>
        <b val="0"/>
        <i val="0"/>
        <strike val="0"/>
        <condense val="0"/>
        <extend val="0"/>
        <outline val="0"/>
        <shadow val="0"/>
        <u val="none"/>
        <vertAlign val="baseline"/>
        <sz val="11"/>
        <color theme="4"/>
        <name val="Calibri"/>
        <family val="2"/>
        <scheme val="minor"/>
      </font>
      <numFmt numFmtId="2" formatCode="0.0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70" formatCode="0.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70" formatCode="0.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70" formatCode="0.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70" formatCode="0.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numFmt numFmtId="1" formatCode="0"/>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alignment horizontal="general" vertical="bottom" textRotation="0" wrapText="1" indent="0" justifyLastLine="0" shrinkToFit="0" readingOrder="0"/>
      <border diagonalUp="0" diagonalDown="0" outline="0">
        <left/>
        <right/>
        <top style="thin">
          <color indexed="64"/>
        </top>
        <bottom/>
      </border>
    </dxf>
    <dxf>
      <alignment horizontal="general"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alignment horizontal="general" vertical="bottom" textRotation="0" wrapText="1" indent="0" justifyLastLine="0" shrinkToFit="0" readingOrder="0"/>
      <border diagonalUp="0" diagonalDown="0" outline="0">
        <left/>
        <right/>
        <top style="thin">
          <color indexed="64"/>
        </top>
        <bottom/>
      </border>
    </dxf>
    <dxf>
      <alignment horizontal="general"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border diagonalUp="0" diagonalDown="0" outline="0">
        <left/>
        <right/>
        <top style="thin">
          <color indexed="64"/>
        </top>
        <bottom/>
      </border>
    </dxf>
    <dxf>
      <font>
        <b val="0"/>
        <i val="0"/>
        <strike val="0"/>
        <condense val="0"/>
        <extend val="0"/>
        <outline val="0"/>
        <shadow val="0"/>
        <u val="none"/>
        <vertAlign val="baseline"/>
        <sz val="11"/>
        <color theme="4"/>
        <name val="Calibri"/>
        <family val="2"/>
        <scheme val="minor"/>
      </font>
      <border diagonalUp="0" diagonalDown="0" outline="0">
        <left/>
        <right/>
        <top style="thin">
          <color indexed="64"/>
        </top>
        <bottom/>
      </border>
    </dxf>
    <dxf>
      <border>
        <top style="thin">
          <color indexed="64"/>
        </top>
      </border>
    </dxf>
    <dxf>
      <font>
        <strike val="0"/>
        <outline val="0"/>
        <shadow val="0"/>
        <u val="none"/>
        <vertAlign val="baseline"/>
        <sz val="11"/>
        <color theme="4"/>
        <name val="Calibri"/>
        <family val="2"/>
        <scheme val="minor"/>
      </font>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s>
  <tableStyles count="0" defaultTableStyle="TableStyleMedium2" defaultPivotStyle="PivotStyleLight16"/>
  <colors>
    <mruColors>
      <color rgb="FF95B3D7"/>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microsoft.com/office/2017/10/relationships/person" Target="persons/person.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3.png@01DBDB7F.3B795AE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5</xdr:row>
      <xdr:rowOff>0</xdr:rowOff>
    </xdr:from>
    <xdr:to>
      <xdr:col>21</xdr:col>
      <xdr:colOff>153187</xdr:colOff>
      <xdr:row>11</xdr:row>
      <xdr:rowOff>130331</xdr:rowOff>
    </xdr:to>
    <xdr:pic>
      <xdr:nvPicPr>
        <xdr:cNvPr id="2" name="Picture 1">
          <a:extLst>
            <a:ext uri="{FF2B5EF4-FFF2-40B4-BE49-F238E27FC236}">
              <a16:creationId xmlns:a16="http://schemas.microsoft.com/office/drawing/2014/main" id="{B3C77E65-6475-4AAA-9744-5CA99DC4E9BE}"/>
            </a:ext>
          </a:extLst>
        </xdr:cNvPr>
        <xdr:cNvPicPr>
          <a:picLocks noChangeAspect="1"/>
        </xdr:cNvPicPr>
      </xdr:nvPicPr>
      <xdr:blipFill>
        <a:blip xmlns:r="http://schemas.openxmlformats.org/officeDocument/2006/relationships" r:embed="rId1"/>
        <a:stretch>
          <a:fillRect/>
        </a:stretch>
      </xdr:blipFill>
      <xdr:spPr>
        <a:xfrm>
          <a:off x="9607550" y="806450"/>
          <a:ext cx="5639587" cy="1101881"/>
        </a:xfrm>
        <a:prstGeom prst="rect">
          <a:avLst/>
        </a:prstGeom>
      </xdr:spPr>
    </xdr:pic>
    <xdr:clientData/>
  </xdr:twoCellAnchor>
  <xdr:twoCellAnchor>
    <xdr:from>
      <xdr:col>12</xdr:col>
      <xdr:colOff>0</xdr:colOff>
      <xdr:row>21</xdr:row>
      <xdr:rowOff>0</xdr:rowOff>
    </xdr:from>
    <xdr:to>
      <xdr:col>17</xdr:col>
      <xdr:colOff>279400</xdr:colOff>
      <xdr:row>32</xdr:row>
      <xdr:rowOff>152400</xdr:rowOff>
    </xdr:to>
    <xdr:pic>
      <xdr:nvPicPr>
        <xdr:cNvPr id="3" name="Picture 1">
          <a:extLst>
            <a:ext uri="{FF2B5EF4-FFF2-40B4-BE49-F238E27FC236}">
              <a16:creationId xmlns:a16="http://schemas.microsoft.com/office/drawing/2014/main" id="{0853F16A-AB06-4918-9209-F6E799DEA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07550" y="3365500"/>
          <a:ext cx="33274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42</xdr:row>
      <xdr:rowOff>9525</xdr:rowOff>
    </xdr:from>
    <xdr:to>
      <xdr:col>19</xdr:col>
      <xdr:colOff>123825</xdr:colOff>
      <xdr:row>44</xdr:row>
      <xdr:rowOff>9525</xdr:rowOff>
    </xdr:to>
    <xdr:pic>
      <xdr:nvPicPr>
        <xdr:cNvPr id="4" name="Picture 1">
          <a:extLst>
            <a:ext uri="{FF2B5EF4-FFF2-40B4-BE49-F238E27FC236}">
              <a16:creationId xmlns:a16="http://schemas.microsoft.com/office/drawing/2014/main" id="{D06D8831-6F9A-4FC3-8692-02A45F7274CA}"/>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9607550" y="6727825"/>
          <a:ext cx="4391025"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51</xdr:row>
      <xdr:rowOff>0</xdr:rowOff>
    </xdr:from>
    <xdr:to>
      <xdr:col>18</xdr:col>
      <xdr:colOff>455949</xdr:colOff>
      <xdr:row>59</xdr:row>
      <xdr:rowOff>6350</xdr:rowOff>
    </xdr:to>
    <xdr:pic>
      <xdr:nvPicPr>
        <xdr:cNvPr id="5" name="Picture 4">
          <a:extLst>
            <a:ext uri="{FF2B5EF4-FFF2-40B4-BE49-F238E27FC236}">
              <a16:creationId xmlns:a16="http://schemas.microsoft.com/office/drawing/2014/main" id="{BBB9E657-D471-4321-B361-454AC78D81F5}"/>
            </a:ext>
          </a:extLst>
        </xdr:cNvPr>
        <xdr:cNvPicPr>
          <a:picLocks noChangeAspect="1"/>
        </xdr:cNvPicPr>
      </xdr:nvPicPr>
      <xdr:blipFill>
        <a:blip xmlns:r="http://schemas.openxmlformats.org/officeDocument/2006/relationships" r:embed="rId5"/>
        <a:stretch>
          <a:fillRect/>
        </a:stretch>
      </xdr:blipFill>
      <xdr:spPr>
        <a:xfrm>
          <a:off x="9607550" y="8153400"/>
          <a:ext cx="4113549" cy="130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1426323</xdr:colOff>
      <xdr:row>207</xdr:row>
      <xdr:rowOff>14382</xdr:rowOff>
    </xdr:from>
    <xdr:to>
      <xdr:col>3</xdr:col>
      <xdr:colOff>1465692</xdr:colOff>
      <xdr:row>208</xdr:row>
      <xdr:rowOff>176120</xdr:rowOff>
    </xdr:to>
    <xdr:sp macro="" textlink="">
      <xdr:nvSpPr>
        <xdr:cNvPr id="2" name="Right Brace 1">
          <a:extLst>
            <a:ext uri="{FF2B5EF4-FFF2-40B4-BE49-F238E27FC236}">
              <a16:creationId xmlns:a16="http://schemas.microsoft.com/office/drawing/2014/main" id="{CC03BCA7-7023-48A9-4D81-BA52328CABFF}"/>
            </a:ext>
          </a:extLst>
        </xdr:cNvPr>
        <xdr:cNvSpPr/>
      </xdr:nvSpPr>
      <xdr:spPr>
        <a:xfrm>
          <a:off x="4743264" y="7309411"/>
          <a:ext cx="39369" cy="34103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54</xdr:row>
      <xdr:rowOff>6350</xdr:rowOff>
    </xdr:from>
    <xdr:to>
      <xdr:col>10</xdr:col>
      <xdr:colOff>381000</xdr:colOff>
      <xdr:row>117</xdr:row>
      <xdr:rowOff>97139</xdr:rowOff>
    </xdr:to>
    <xdr:pic>
      <xdr:nvPicPr>
        <xdr:cNvPr id="2" name="Picture 1">
          <a:extLst>
            <a:ext uri="{FF2B5EF4-FFF2-40B4-BE49-F238E27FC236}">
              <a16:creationId xmlns:a16="http://schemas.microsoft.com/office/drawing/2014/main" id="{DE388A4F-47DD-4E56-BEB7-265D5B901063}"/>
            </a:ext>
          </a:extLst>
        </xdr:cNvPr>
        <xdr:cNvPicPr>
          <a:picLocks noChangeAspect="1"/>
        </xdr:cNvPicPr>
      </xdr:nvPicPr>
      <xdr:blipFill rotWithShape="1">
        <a:blip xmlns:r="http://schemas.openxmlformats.org/officeDocument/2006/relationships" r:embed="rId1"/>
        <a:srcRect l="61465" r="10606"/>
        <a:stretch/>
      </xdr:blipFill>
      <xdr:spPr>
        <a:xfrm>
          <a:off x="638175" y="8763000"/>
          <a:ext cx="10144125" cy="100920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387350</xdr:colOff>
      <xdr:row>0</xdr:row>
      <xdr:rowOff>90487</xdr:rowOff>
    </xdr:from>
    <xdr:to>
      <xdr:col>17</xdr:col>
      <xdr:colOff>343691</xdr:colOff>
      <xdr:row>1</xdr:row>
      <xdr:rowOff>231087</xdr:rowOff>
    </xdr:to>
    <xdr:pic>
      <xdr:nvPicPr>
        <xdr:cNvPr id="2" name="Picture 2">
          <a:extLst>
            <a:ext uri="{FF2B5EF4-FFF2-40B4-BE49-F238E27FC236}">
              <a16:creationId xmlns:a16="http://schemas.microsoft.com/office/drawing/2014/main" id="{410B4A28-DD7D-4C05-BD63-FF76C8D575F5}"/>
            </a:ext>
          </a:extLst>
        </xdr:cNvPr>
        <xdr:cNvPicPr>
          <a:picLocks noChangeAspect="1"/>
        </xdr:cNvPicPr>
      </xdr:nvPicPr>
      <xdr:blipFill>
        <a:blip xmlns:r="http://schemas.openxmlformats.org/officeDocument/2006/relationships" r:embed="rId1"/>
        <a:stretch>
          <a:fillRect/>
        </a:stretch>
      </xdr:blipFill>
      <xdr:spPr>
        <a:xfrm>
          <a:off x="6305550" y="87312"/>
          <a:ext cx="1353341" cy="473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214312</xdr:colOff>
      <xdr:row>0</xdr:row>
      <xdr:rowOff>95250</xdr:rowOff>
    </xdr:from>
    <xdr:to>
      <xdr:col>17</xdr:col>
      <xdr:colOff>57941</xdr:colOff>
      <xdr:row>1</xdr:row>
      <xdr:rowOff>199338</xdr:rowOff>
    </xdr:to>
    <xdr:pic>
      <xdr:nvPicPr>
        <xdr:cNvPr id="2" name="Picture 1">
          <a:extLst>
            <a:ext uri="{FF2B5EF4-FFF2-40B4-BE49-F238E27FC236}">
              <a16:creationId xmlns:a16="http://schemas.microsoft.com/office/drawing/2014/main" id="{45E61B70-0E3B-41A0-A533-06C8A6ED479E}"/>
            </a:ext>
          </a:extLst>
        </xdr:cNvPr>
        <xdr:cNvPicPr>
          <a:picLocks noChangeAspect="1"/>
        </xdr:cNvPicPr>
      </xdr:nvPicPr>
      <xdr:blipFill>
        <a:blip xmlns:r="http://schemas.openxmlformats.org/officeDocument/2006/relationships" r:embed="rId1"/>
        <a:stretch>
          <a:fillRect/>
        </a:stretch>
      </xdr:blipFill>
      <xdr:spPr>
        <a:xfrm>
          <a:off x="7513637" y="95250"/>
          <a:ext cx="1361279" cy="421588"/>
        </a:xfrm>
        <a:prstGeom prst="rect">
          <a:avLst/>
        </a:prstGeom>
      </xdr:spPr>
    </xdr:pic>
    <xdr:clientData/>
  </xdr:twoCellAnchor>
  <xdr:oneCellAnchor>
    <xdr:from>
      <xdr:col>13</xdr:col>
      <xdr:colOff>214312</xdr:colOff>
      <xdr:row>0</xdr:row>
      <xdr:rowOff>95250</xdr:rowOff>
    </xdr:from>
    <xdr:ext cx="1361280" cy="421588"/>
    <xdr:pic>
      <xdr:nvPicPr>
        <xdr:cNvPr id="3" name="Picture 2">
          <a:extLst>
            <a:ext uri="{FF2B5EF4-FFF2-40B4-BE49-F238E27FC236}">
              <a16:creationId xmlns:a16="http://schemas.microsoft.com/office/drawing/2014/main" id="{D44B2CE3-7C24-4118-B70C-D507FDBC66C7}"/>
            </a:ext>
          </a:extLst>
        </xdr:cNvPr>
        <xdr:cNvPicPr>
          <a:picLocks noChangeAspect="1"/>
        </xdr:cNvPicPr>
      </xdr:nvPicPr>
      <xdr:blipFill>
        <a:blip xmlns:r="http://schemas.openxmlformats.org/officeDocument/2006/relationships" r:embed="rId1"/>
        <a:stretch>
          <a:fillRect/>
        </a:stretch>
      </xdr:blipFill>
      <xdr:spPr>
        <a:xfrm>
          <a:off x="7513637" y="95250"/>
          <a:ext cx="1361280" cy="42158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13</xdr:col>
      <xdr:colOff>196850</xdr:colOff>
      <xdr:row>0</xdr:row>
      <xdr:rowOff>82550</xdr:rowOff>
    </xdr:from>
    <xdr:to>
      <xdr:col>16</xdr:col>
      <xdr:colOff>483391</xdr:colOff>
      <xdr:row>1</xdr:row>
      <xdr:rowOff>188225</xdr:rowOff>
    </xdr:to>
    <xdr:pic>
      <xdr:nvPicPr>
        <xdr:cNvPr id="2" name="Picture 2">
          <a:extLst>
            <a:ext uri="{FF2B5EF4-FFF2-40B4-BE49-F238E27FC236}">
              <a16:creationId xmlns:a16="http://schemas.microsoft.com/office/drawing/2014/main" id="{5DF56896-1D1A-4737-83AC-C34CC8745430}"/>
            </a:ext>
          </a:extLst>
        </xdr:cNvPr>
        <xdr:cNvPicPr>
          <a:picLocks noChangeAspect="1"/>
        </xdr:cNvPicPr>
      </xdr:nvPicPr>
      <xdr:blipFill>
        <a:blip xmlns:r="http://schemas.openxmlformats.org/officeDocument/2006/relationships" r:embed="rId1"/>
        <a:stretch>
          <a:fillRect/>
        </a:stretch>
      </xdr:blipFill>
      <xdr:spPr>
        <a:xfrm>
          <a:off x="7156450" y="82550"/>
          <a:ext cx="1366041" cy="4168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636588</xdr:colOff>
      <xdr:row>0</xdr:row>
      <xdr:rowOff>0</xdr:rowOff>
    </xdr:from>
    <xdr:to>
      <xdr:col>16</xdr:col>
      <xdr:colOff>511968</xdr:colOff>
      <xdr:row>2</xdr:row>
      <xdr:rowOff>1</xdr:rowOff>
    </xdr:to>
    <xdr:pic>
      <xdr:nvPicPr>
        <xdr:cNvPr id="2" name="Picture 2">
          <a:extLst>
            <a:ext uri="{FF2B5EF4-FFF2-40B4-BE49-F238E27FC236}">
              <a16:creationId xmlns:a16="http://schemas.microsoft.com/office/drawing/2014/main" id="{3F7B3C16-1681-4310-92AF-D2C7970DC7F7}"/>
            </a:ext>
          </a:extLst>
        </xdr:cNvPr>
        <xdr:cNvPicPr>
          <a:picLocks noChangeAspect="1"/>
        </xdr:cNvPicPr>
      </xdr:nvPicPr>
      <xdr:blipFill>
        <a:blip xmlns:r="http://schemas.openxmlformats.org/officeDocument/2006/relationships" r:embed="rId1"/>
        <a:stretch>
          <a:fillRect/>
        </a:stretch>
      </xdr:blipFill>
      <xdr:spPr>
        <a:xfrm>
          <a:off x="7173913" y="0"/>
          <a:ext cx="1758155" cy="6286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lincolnshirecc.sharepoint.com/sites/FinancialServices/Childrens/Children's%20Education/Head%20of%20Service%20SEND%20(Katie%20Marsden)/Katie%20Marsden/Special%20Schools/25-26%20Special%20Schools/2526%20Financial%20Modelling/New%20Formula%20Modelling%20-%20Special%20Schools%202026-27%20-%20consultation%20(1).xlsx" TargetMode="External"/><Relationship Id="rId2" Type="http://schemas.microsoft.com/office/2019/04/relationships/externalLinkLongPath" Target="https://lincolnshirecc.sharepoint.com/sites/FinancialServices/Childrens/Children's%20Education/Head%20of%20Service%20SEND%20(Katie%20Marsden)/Katie%20Marsden/Special%20Schools/25-26%20Special%20Schools/2526%20Financial%20Modelling/New%20Formula%20Modelling%20-%20Special%20Schools%202026-27%20-%20consultation%20(1).xlsx?884814DE" TargetMode="External"/><Relationship Id="rId1" Type="http://schemas.openxmlformats.org/officeDocument/2006/relationships/externalLinkPath" Target="file:///\\884814DE\New%20Formula%20Modelling%20-%20Special%20Schools%202026-27%20-%20consultation%20(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lincolnshirecc-my.sharepoint.com/personal/ke_zhang_lincolnshire_gov_uk/Documents/Desktop/Children/NEW%20BUDGET/SEND/Appendix%20D%20-%20Special%20Schools%20Funding%202026-27%20-%20consultation.xlsx" TargetMode="External"/><Relationship Id="rId1" Type="http://schemas.openxmlformats.org/officeDocument/2006/relationships/externalLinkPath" Target="Appendix%20D%20-%20Special%20Schools%20Funding%202026-27%20-%20consultation.xlsx"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lincolnshirecc.sharepoint.com/sites/FinancialServices/Childrens/Children's%20Education/Head%20of%20Service%20SEND%20(Katie%20Marsden)/Katie%20Marsden/Special%20Schools/25-26%20Special%20Schools/2526%20Financial%20Modelling/Special%20Schools%202025-26%20(Final%20Published%20Version)%20-%20202627%20Baseline%20-%20Exceptional.xlsx" TargetMode="External"/><Relationship Id="rId2" Type="http://schemas.microsoft.com/office/2019/04/relationships/externalLinkLongPath" Target="https://lincolnshirecc.sharepoint.com/sites/FinancialServices/Childrens/Children's%20Education/Head%20of%20Service%20SEND%20(Katie%20Marsden)/Katie%20Marsden/Special%20Schools/25-26%20Special%20Schools/2526%20Financial%20Modelling/Special%20Schools%202025-26%20(Final%20Published%20Version)%20-%20202627%20Baseline%20-%20Exceptional.xlsx?884814DE" TargetMode="External"/><Relationship Id="rId1" Type="http://schemas.openxmlformats.org/officeDocument/2006/relationships/externalLinkPath" Target="file:///\\884814DE\Special%20Schools%202025-26%20(Final%20Published%20Version)%20-%20202627%20Baseline%20-%20Exceptio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chool Summary"/>
      <sheetName val="2627 Funding Detail"/>
      <sheetName val="2627 Places &amp; Banding"/>
      <sheetName val="Sheet1"/>
      <sheetName val="26267 Funding Detail 2"/>
      <sheetName val="2627 Summary"/>
      <sheetName val="2526 Funding Comparisons"/>
      <sheetName val="Summary"/>
      <sheetName val="Fixed Costs"/>
      <sheetName val="Combined- special"/>
      <sheetName val="2627 Band Values"/>
      <sheetName val="2526 Band Calculations (2)"/>
      <sheetName val="2526 Band Calculations"/>
      <sheetName val="Staff Pay Schedule"/>
      <sheetName val="2526 3.4% Allocations"/>
      <sheetName val="Staff Survey"/>
      <sheetName val="TA - over 5 years"/>
      <sheetName val="GLEA"/>
      <sheetName val="Leadership"/>
      <sheetName val="Teacher"/>
    </sheetNames>
    <sheetDataSet>
      <sheetData sheetId="0"/>
      <sheetData sheetId="1"/>
      <sheetData sheetId="2">
        <row r="21">
          <cell r="AC21">
            <v>21746088.9249915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hool Summary"/>
      <sheetName val="Sheet3"/>
      <sheetName val="2627 Funding Detail"/>
      <sheetName val="2627 Places &amp; Banding"/>
      <sheetName val="2627 Funding Detail 2"/>
      <sheetName val="2627 Summary"/>
      <sheetName val="2526 Funding Comparisons"/>
      <sheetName val="Summary"/>
      <sheetName val="Fixed Costs"/>
      <sheetName val="Combined- special"/>
      <sheetName val="2627 Band Values"/>
      <sheetName val="2526 Band Calculations (2)"/>
      <sheetName val="2526 Band Calculations"/>
      <sheetName val="Staff Pay Schedule"/>
      <sheetName val="2526 3.4% Allocations"/>
      <sheetName val="TA - over 5 years"/>
      <sheetName val="GLEA"/>
      <sheetName val="Leadership"/>
      <sheetName val="Teacher"/>
    </sheetNames>
    <sheetDataSet>
      <sheetData sheetId="0"/>
      <sheetData sheetId="1"/>
      <sheetData sheetId="2"/>
      <sheetData sheetId="3">
        <row r="40">
          <cell r="M40">
            <v>51488001.697256707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ront Sheet - Please Read First"/>
      <sheetName val="ISB Weightings"/>
      <sheetName val="Budget Shares"/>
      <sheetName val="Funding Summary"/>
      <sheetName val="Local Protection"/>
      <sheetName val="MFG DfE Protection"/>
      <sheetName val="2425 Budget Requirement"/>
      <sheetName val="2526 Budget Requirement"/>
      <sheetName val="2425 0% MFG Calculation"/>
      <sheetName val="2526 0% MFG Calculation"/>
      <sheetName val="2324 Budget Requirement"/>
      <sheetName val="2223 Funding Detail"/>
      <sheetName val="2324 Funding Detail"/>
      <sheetName val="2425 Funding Detail"/>
      <sheetName val="2526 Funding Detail (Dup)"/>
      <sheetName val="26267 Funding Detail"/>
      <sheetName val="2223 MFG Protection"/>
      <sheetName val="2324 Local Protection"/>
      <sheetName val="2324 MFG Protection (2)"/>
      <sheetName val="2425 Local Protection"/>
      <sheetName val="2324 3.4% Allocations"/>
      <sheetName val="School Size Ranges (2223)"/>
      <sheetName val="2526 Local Protection"/>
      <sheetName val="2425 3.4% Allocations"/>
      <sheetName val="2324 School Size Ranges"/>
      <sheetName val="2223 Group Sizes"/>
      <sheetName val="2324 FSM Calculation"/>
      <sheetName val="2526 3.4% Allocations"/>
      <sheetName val="2526  CSBG School Allocations"/>
      <sheetName val="2425 FSM Calculation"/>
      <sheetName val="2526 FSM Calculation"/>
      <sheetName val="2223 FSM Calculation"/>
      <sheetName val="2324 Other Funding"/>
      <sheetName val="2425 Other Funding"/>
      <sheetName val="2526 Other Funding"/>
      <sheetName val="2223 Band Values"/>
      <sheetName val="2324 Band Values"/>
      <sheetName val="2425 School Size Ranges"/>
      <sheetName val="2526 School Size Ranges"/>
      <sheetName val="2425 Band Values"/>
      <sheetName val="2223 Teachers Pay Scales"/>
      <sheetName val="2425 GLEA Pay Scale"/>
      <sheetName val="2324 Teacher's Pay Scales"/>
      <sheetName val="2425 Teacher's Pay Scales"/>
      <sheetName val="2223 TA Pay Scales"/>
      <sheetName val="2324 TA Pay Scales"/>
      <sheetName val="2526 Band Values"/>
      <sheetName val="2425 TA Pay Scales"/>
      <sheetName val="2526 TA Pay Scales"/>
      <sheetName val="2223 Band Calculations"/>
      <sheetName val="2324 Band Calculations"/>
      <sheetName val="2425 Band Calculations"/>
      <sheetName val="2627 LCC Banding"/>
      <sheetName val="2627 Band Calculations"/>
      <sheetName val="2223 Band Moderations"/>
      <sheetName val="2324 Band Moderations"/>
      <sheetName val="2425 Band Moderations"/>
      <sheetName val="2627 Band Moderations"/>
      <sheetName val="2324 OLEA Placements"/>
      <sheetName val="2425 OLEA Placements"/>
      <sheetName val="2526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L11">
            <v>82.458329797119717</v>
          </cell>
        </row>
        <row r="20">
          <cell r="L20">
            <v>0</v>
          </cell>
        </row>
        <row r="29">
          <cell r="L29">
            <v>3997.1444837946465</v>
          </cell>
        </row>
        <row r="47">
          <cell r="L47">
            <v>4780.2404430071419</v>
          </cell>
        </row>
        <row r="56">
          <cell r="L56">
            <v>0</v>
          </cell>
        </row>
        <row r="65">
          <cell r="L65">
            <v>0</v>
          </cell>
        </row>
        <row r="74">
          <cell r="L74">
            <v>0</v>
          </cell>
        </row>
        <row r="83">
          <cell r="L83">
            <v>13773.37936964817</v>
          </cell>
        </row>
        <row r="101">
          <cell r="L101">
            <v>25360.054754919554</v>
          </cell>
        </row>
        <row r="110">
          <cell r="L110">
            <v>0</v>
          </cell>
        </row>
        <row r="119">
          <cell r="L119">
            <v>0</v>
          </cell>
        </row>
        <row r="128">
          <cell r="L128">
            <v>0</v>
          </cell>
        </row>
        <row r="137">
          <cell r="L137">
            <v>0</v>
          </cell>
        </row>
        <row r="146">
          <cell r="L146">
            <v>0</v>
          </cell>
        </row>
        <row r="155">
          <cell r="L155">
            <v>0</v>
          </cell>
        </row>
        <row r="164">
          <cell r="L164">
            <v>0</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6">
          <cell r="H6">
            <v>424777</v>
          </cell>
          <cell r="I6">
            <v>125672</v>
          </cell>
        </row>
        <row r="8">
          <cell r="H8">
            <v>516137</v>
          </cell>
          <cell r="I8">
            <v>137954</v>
          </cell>
        </row>
        <row r="10">
          <cell r="H10">
            <v>614312</v>
          </cell>
          <cell r="I10">
            <v>161337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
          <cell r="A1" t="str">
            <v>Special Schools Band Descriptors</v>
          </cell>
          <cell r="B1"/>
          <cell r="C1"/>
          <cell r="D1"/>
          <cell r="E1"/>
          <cell r="F1"/>
          <cell r="G1"/>
          <cell r="H1"/>
          <cell r="I1"/>
          <cell r="J1"/>
          <cell r="K1"/>
          <cell r="L1"/>
          <cell r="M1"/>
          <cell r="N1"/>
          <cell r="O1"/>
          <cell r="P1"/>
          <cell r="Q1"/>
          <cell r="R1"/>
          <cell r="S1"/>
          <cell r="T1"/>
          <cell r="U1"/>
          <cell r="V1"/>
          <cell r="W1"/>
          <cell r="X1"/>
          <cell r="Y1"/>
          <cell r="Z1"/>
          <cell r="AA1"/>
          <cell r="AB1"/>
          <cell r="AC1"/>
          <cell r="AD1"/>
          <cell r="AE1"/>
          <cell r="AF1"/>
          <cell r="AG1"/>
          <cell r="AH1"/>
          <cell r="AI1"/>
          <cell r="AJ1"/>
          <cell r="AK1"/>
          <cell r="AL1"/>
          <cell r="AM1"/>
          <cell r="AN1"/>
          <cell r="AO1"/>
          <cell r="AP1"/>
          <cell r="AQ1"/>
          <cell r="AR1"/>
          <cell r="AS1"/>
          <cell r="AT1"/>
          <cell r="AU1"/>
          <cell r="AV1"/>
          <cell r="AW1"/>
          <cell r="AX1"/>
          <cell r="AY1"/>
        </row>
        <row r="2">
          <cell r="A2"/>
          <cell r="B2"/>
          <cell r="C2"/>
          <cell r="D2"/>
          <cell r="E2" t="str">
            <v>2026/27 Budget Share Calculations</v>
          </cell>
          <cell r="F2"/>
          <cell r="G2"/>
          <cell r="H2"/>
          <cell r="I2"/>
          <cell r="J2"/>
          <cell r="K2"/>
          <cell r="L2"/>
          <cell r="M2"/>
          <cell r="N2"/>
          <cell r="O2"/>
          <cell r="P2"/>
          <cell r="Q2"/>
          <cell r="R2"/>
          <cell r="S2"/>
          <cell r="T2"/>
          <cell r="U2"/>
          <cell r="V2"/>
          <cell r="W2"/>
          <cell r="X2"/>
          <cell r="Y2"/>
          <cell r="Z2"/>
          <cell r="AA2"/>
          <cell r="AB2"/>
          <cell r="AC2"/>
          <cell r="AD2"/>
          <cell r="AE2"/>
          <cell r="AF2"/>
          <cell r="AG2"/>
          <cell r="AH2"/>
          <cell r="AI2"/>
          <cell r="AJ2"/>
          <cell r="AK2"/>
          <cell r="AL2"/>
          <cell r="AM2"/>
          <cell r="AN2"/>
          <cell r="AO2"/>
          <cell r="AP2"/>
          <cell r="AQ2"/>
          <cell r="AR2"/>
          <cell r="AS2"/>
          <cell r="AT2"/>
          <cell r="AU2"/>
          <cell r="AV2"/>
          <cell r="AW2"/>
          <cell r="AX2"/>
          <cell r="AY2"/>
        </row>
        <row r="3">
          <cell r="A3" t="str">
            <v>April 26 - August 27 (Pre-16)</v>
          </cell>
          <cell r="B3"/>
          <cell r="C3"/>
          <cell r="D3"/>
          <cell r="E3"/>
          <cell r="F3"/>
          <cell r="G3"/>
          <cell r="H3"/>
          <cell r="I3"/>
          <cell r="J3"/>
          <cell r="K3" t="str">
            <v>Moderation numbers</v>
          </cell>
          <cell r="L3"/>
          <cell r="M3"/>
          <cell r="N3"/>
          <cell r="O3"/>
          <cell r="P3"/>
          <cell r="Q3"/>
          <cell r="R3"/>
          <cell r="S3"/>
          <cell r="T3"/>
          <cell r="U3"/>
          <cell r="V3"/>
          <cell r="W3"/>
          <cell r="X3"/>
          <cell r="Y3"/>
          <cell r="Z3"/>
          <cell r="AA3"/>
          <cell r="AB3"/>
          <cell r="AC3"/>
          <cell r="AD3"/>
          <cell r="AE3"/>
          <cell r="AF3"/>
          <cell r="AG3"/>
          <cell r="AH3"/>
          <cell r="AI3"/>
          <cell r="AJ3"/>
          <cell r="AK3"/>
          <cell r="AL3"/>
          <cell r="AM3"/>
          <cell r="AN3"/>
          <cell r="AO3"/>
          <cell r="AP3"/>
          <cell r="AQ3"/>
          <cell r="AR3"/>
          <cell r="AS3"/>
          <cell r="AT3"/>
          <cell r="AU3"/>
          <cell r="AV3"/>
          <cell r="AW3"/>
          <cell r="AX3"/>
          <cell r="AY3"/>
        </row>
        <row r="4">
          <cell r="A4"/>
          <cell r="B4"/>
          <cell r="C4"/>
          <cell r="D4"/>
          <cell r="E4"/>
          <cell r="F4"/>
          <cell r="G4"/>
          <cell r="H4"/>
          <cell r="I4"/>
          <cell r="J4"/>
          <cell r="K4"/>
          <cell r="L4"/>
          <cell r="M4"/>
          <cell r="N4"/>
          <cell r="O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cell r="AW4"/>
          <cell r="AX4"/>
          <cell r="AY4"/>
        </row>
        <row r="5">
          <cell r="A5" t="str">
            <v>DfE Number</v>
          </cell>
          <cell r="B5" t="str">
            <v>School</v>
          </cell>
          <cell r="C5" t="str">
            <v>Group</v>
          </cell>
          <cell r="D5" t="str">
            <v>% Band A</v>
          </cell>
          <cell r="E5" t="str">
            <v>% Band B</v>
          </cell>
          <cell r="F5" t="str">
            <v>% Band C</v>
          </cell>
          <cell r="G5" t="str">
            <v>% Band D</v>
          </cell>
          <cell r="H5" t="str">
            <v>% Band E</v>
          </cell>
          <cell r="I5" t="str">
            <v>% Band F</v>
          </cell>
          <cell r="J5" t="str">
            <v>% Band G</v>
          </cell>
          <cell r="K5" t="str">
            <v>Pre-16 Places</v>
          </cell>
          <cell r="L5" t="str">
            <v>Banded Funding</v>
          </cell>
          <cell r="M5"/>
          <cell r="N5"/>
          <cell r="O5"/>
          <cell r="P5"/>
          <cell r="Q5"/>
          <cell r="R5"/>
          <cell r="S5"/>
          <cell r="T5"/>
          <cell r="U5"/>
          <cell r="V5"/>
          <cell r="W5"/>
          <cell r="X5"/>
          <cell r="Y5"/>
          <cell r="Z5"/>
          <cell r="AA5"/>
          <cell r="AB5"/>
          <cell r="AC5"/>
          <cell r="AD5"/>
          <cell r="AE5"/>
          <cell r="AF5"/>
          <cell r="AG5"/>
          <cell r="AH5"/>
          <cell r="AI5"/>
          <cell r="AJ5"/>
          <cell r="AK5"/>
          <cell r="AL5"/>
          <cell r="AM5"/>
          <cell r="AN5"/>
          <cell r="AO5"/>
          <cell r="AP5"/>
          <cell r="AQ5"/>
          <cell r="AR5"/>
          <cell r="AS5"/>
          <cell r="AT5"/>
          <cell r="AU5"/>
          <cell r="AV5"/>
          <cell r="AW5"/>
          <cell r="AX5"/>
          <cell r="AY5"/>
        </row>
        <row r="6">
          <cell r="A6">
            <v>9257010</v>
          </cell>
          <cell r="B6" t="str">
            <v>Boston Endeavour Academy</v>
          </cell>
          <cell r="C6"/>
          <cell r="D6">
            <v>6.4102564102564097E-2</v>
          </cell>
          <cell r="E6">
            <v>0.36538461538461536</v>
          </cell>
          <cell r="F6">
            <v>1.9230769230769232E-2</v>
          </cell>
          <cell r="G6">
            <v>0.28205128205128205</v>
          </cell>
          <cell r="H6">
            <v>4.4871794871794872E-2</v>
          </cell>
          <cell r="I6">
            <v>0.12179487179487179</v>
          </cell>
          <cell r="J6">
            <v>0.10256410256410256</v>
          </cell>
          <cell r="K6">
            <v>156</v>
          </cell>
          <cell r="L6">
            <v>2153566</v>
          </cell>
          <cell r="M6"/>
          <cell r="N6">
            <v>158</v>
          </cell>
          <cell r="O6">
            <v>2181175.820512821</v>
          </cell>
          <cell r="P6"/>
          <cell r="Q6">
            <v>27609.820512820967</v>
          </cell>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cell r="AW6"/>
          <cell r="AX6"/>
          <cell r="AY6"/>
        </row>
        <row r="7">
          <cell r="A7">
            <v>9257005</v>
          </cell>
          <cell r="B7" t="str">
            <v>Newton Bridge Academy</v>
          </cell>
          <cell r="C7"/>
          <cell r="D7">
            <v>8.4070796460176997E-2</v>
          </cell>
          <cell r="E7">
            <v>0.46017699115044247</v>
          </cell>
          <cell r="F7">
            <v>8.8495575221238937E-2</v>
          </cell>
          <cell r="G7">
            <v>0.13716814159292035</v>
          </cell>
          <cell r="H7">
            <v>4.4247787610619468E-2</v>
          </cell>
          <cell r="I7">
            <v>0.13274336283185842</v>
          </cell>
          <cell r="J7">
            <v>5.3097345132743362E-2</v>
          </cell>
          <cell r="K7">
            <v>226</v>
          </cell>
          <cell r="L7">
            <v>2785809</v>
          </cell>
          <cell r="M7"/>
          <cell r="N7">
            <v>260.16666666666674</v>
          </cell>
          <cell r="O7">
            <v>3206967.4402654879</v>
          </cell>
          <cell r="P7"/>
          <cell r="Q7">
            <v>421158.44026548788</v>
          </cell>
          <cell r="R7"/>
          <cell r="S7"/>
          <cell r="T7"/>
          <cell r="U7"/>
          <cell r="V7"/>
          <cell r="W7"/>
          <cell r="X7"/>
          <cell r="Y7"/>
          <cell r="Z7"/>
          <cell r="AA7"/>
          <cell r="AB7"/>
          <cell r="AC7"/>
          <cell r="AD7"/>
          <cell r="AE7"/>
          <cell r="AF7"/>
          <cell r="AG7"/>
          <cell r="AH7"/>
          <cell r="AI7"/>
          <cell r="AJ7"/>
          <cell r="AK7"/>
          <cell r="AL7"/>
          <cell r="AM7"/>
          <cell r="AN7"/>
          <cell r="AO7"/>
          <cell r="AP7"/>
          <cell r="AQ7"/>
          <cell r="AR7"/>
          <cell r="AS7"/>
          <cell r="AT7"/>
          <cell r="AU7"/>
          <cell r="AV7"/>
          <cell r="AW7"/>
          <cell r="AX7"/>
          <cell r="AY7"/>
        </row>
        <row r="8">
          <cell r="A8">
            <v>9257025</v>
          </cell>
          <cell r="B8" t="str">
            <v>St Bernards School, Louth</v>
          </cell>
          <cell r="C8"/>
          <cell r="D8">
            <v>4.5871559633027525E-2</v>
          </cell>
          <cell r="E8">
            <v>0.5321100917431193</v>
          </cell>
          <cell r="F8">
            <v>2.7522935779816515E-2</v>
          </cell>
          <cell r="G8">
            <v>0.27522935779816515</v>
          </cell>
          <cell r="H8">
            <v>2.7522935779816515E-2</v>
          </cell>
          <cell r="I8">
            <v>4.5871559633027525E-2</v>
          </cell>
          <cell r="J8">
            <v>4.5871559633027525E-2</v>
          </cell>
          <cell r="K8">
            <v>109</v>
          </cell>
          <cell r="L8">
            <v>1303419</v>
          </cell>
          <cell r="M8"/>
          <cell r="N8">
            <v>113.16666666666666</v>
          </cell>
          <cell r="O8">
            <v>1353243.8853211005</v>
          </cell>
          <cell r="P8"/>
          <cell r="Q8">
            <v>49824.885321100475</v>
          </cell>
          <cell r="R8"/>
          <cell r="S8"/>
          <cell r="T8"/>
          <cell r="U8"/>
          <cell r="V8"/>
          <cell r="W8"/>
          <cell r="X8"/>
          <cell r="Y8"/>
          <cell r="Z8"/>
          <cell r="AA8"/>
          <cell r="AB8"/>
          <cell r="AC8"/>
          <cell r="AD8"/>
          <cell r="AE8"/>
          <cell r="AF8"/>
          <cell r="AG8"/>
          <cell r="AH8"/>
          <cell r="AI8"/>
          <cell r="AJ8"/>
          <cell r="AK8"/>
          <cell r="AL8"/>
          <cell r="AM8"/>
          <cell r="AN8"/>
          <cell r="AO8"/>
          <cell r="AP8"/>
          <cell r="AQ8"/>
          <cell r="AR8"/>
          <cell r="AS8"/>
          <cell r="AT8"/>
          <cell r="AU8"/>
          <cell r="AV8"/>
          <cell r="AW8"/>
          <cell r="AX8"/>
          <cell r="AY8"/>
        </row>
        <row r="9">
          <cell r="A9">
            <v>9257024</v>
          </cell>
          <cell r="B9" t="str">
            <v>The Eresby School</v>
          </cell>
          <cell r="C9"/>
          <cell r="D9">
            <v>0.1</v>
          </cell>
          <cell r="E9">
            <v>0.6</v>
          </cell>
          <cell r="F9">
            <v>1.8181818181818181E-2</v>
          </cell>
          <cell r="G9">
            <v>0.17272727272727273</v>
          </cell>
          <cell r="H9">
            <v>4.5454545454545456E-2</v>
          </cell>
          <cell r="I9">
            <v>1.8181818181818181E-2</v>
          </cell>
          <cell r="J9">
            <v>4.5454545454545456E-2</v>
          </cell>
          <cell r="K9">
            <v>110</v>
          </cell>
          <cell r="L9">
            <v>1192079</v>
          </cell>
          <cell r="M9"/>
          <cell r="N9">
            <v>115.08333333333334</v>
          </cell>
          <cell r="O9">
            <v>1247167.4992424243</v>
          </cell>
          <cell r="P9"/>
          <cell r="Q9">
            <v>55088.499242424266</v>
          </cell>
          <cell r="R9"/>
          <cell r="S9"/>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cell r="AW9"/>
          <cell r="AX9"/>
          <cell r="AY9"/>
        </row>
        <row r="10">
          <cell r="A10">
            <v>9257031</v>
          </cell>
          <cell r="B10" t="str">
            <v>Fortuna School</v>
          </cell>
          <cell r="C10"/>
          <cell r="D10">
            <v>0</v>
          </cell>
          <cell r="E10">
            <v>0</v>
          </cell>
          <cell r="F10">
            <v>0.95588235294117652</v>
          </cell>
          <cell r="G10">
            <v>0</v>
          </cell>
          <cell r="H10">
            <v>0</v>
          </cell>
          <cell r="I10">
            <v>0</v>
          </cell>
          <cell r="J10">
            <v>4.4117647058823532E-2</v>
          </cell>
          <cell r="K10">
            <v>68</v>
          </cell>
          <cell r="L10">
            <v>1120299</v>
          </cell>
          <cell r="M10"/>
          <cell r="N10">
            <v>81</v>
          </cell>
          <cell r="O10">
            <v>1334473.8088235294</v>
          </cell>
          <cell r="P10"/>
          <cell r="Q10">
            <v>214174.8088235294</v>
          </cell>
          <cell r="R10"/>
          <cell r="S10"/>
          <cell r="T10"/>
          <cell r="U10"/>
          <cell r="V10"/>
          <cell r="W10"/>
          <cell r="X10"/>
          <cell r="Y10"/>
          <cell r="Z10"/>
          <cell r="AA10"/>
          <cell r="AB10"/>
          <cell r="AC10"/>
          <cell r="AD10"/>
          <cell r="AE10"/>
          <cell r="AF10"/>
          <cell r="AG10"/>
          <cell r="AH10"/>
          <cell r="AI10"/>
          <cell r="AJ10"/>
          <cell r="AK10"/>
          <cell r="AL10"/>
          <cell r="AM10"/>
          <cell r="AN10"/>
          <cell r="AO10"/>
          <cell r="AP10"/>
          <cell r="AQ10"/>
          <cell r="AR10"/>
          <cell r="AS10"/>
          <cell r="AT10"/>
          <cell r="AU10"/>
          <cell r="AV10"/>
          <cell r="AW10"/>
          <cell r="AX10"/>
          <cell r="AY10"/>
        </row>
        <row r="11">
          <cell r="A11">
            <v>9257033</v>
          </cell>
          <cell r="B11" t="str">
            <v>Mayflower Academy Warren Wood - A Specialist Academy</v>
          </cell>
          <cell r="C11"/>
          <cell r="D11">
            <v>7.7519379844961239E-3</v>
          </cell>
          <cell r="E11">
            <v>0.5736434108527132</v>
          </cell>
          <cell r="F11">
            <v>1.5503875968992248E-2</v>
          </cell>
          <cell r="G11">
            <v>0.2868217054263566</v>
          </cell>
          <cell r="H11">
            <v>0</v>
          </cell>
          <cell r="I11">
            <v>6.2015503875968991E-2</v>
          </cell>
          <cell r="J11">
            <v>5.4263565891472867E-2</v>
          </cell>
          <cell r="K11">
            <v>129</v>
          </cell>
          <cell r="L11">
            <v>1558115</v>
          </cell>
          <cell r="M11"/>
          <cell r="N11">
            <v>127.00000000000001</v>
          </cell>
          <cell r="O11">
            <v>1533958.1782945737</v>
          </cell>
          <cell r="P11"/>
          <cell r="Q11">
            <v>-24156.821705426322</v>
          </cell>
          <cell r="R11"/>
          <cell r="S11"/>
          <cell r="T11"/>
          <cell r="U11"/>
          <cell r="V11"/>
          <cell r="W11"/>
          <cell r="X11"/>
          <cell r="Y11"/>
          <cell r="Z11"/>
          <cell r="AA11"/>
          <cell r="AB11"/>
          <cell r="AC11"/>
          <cell r="AD11"/>
          <cell r="AE11"/>
          <cell r="AF11"/>
          <cell r="AG11"/>
          <cell r="AH11"/>
          <cell r="AI11"/>
          <cell r="AJ11"/>
          <cell r="AK11"/>
          <cell r="AL11"/>
          <cell r="AM11"/>
          <cell r="AN11"/>
          <cell r="AO11"/>
          <cell r="AP11"/>
          <cell r="AQ11"/>
          <cell r="AR11"/>
          <cell r="AS11"/>
          <cell r="AT11"/>
          <cell r="AU11"/>
          <cell r="AV11"/>
          <cell r="AW11"/>
          <cell r="AX11"/>
          <cell r="AY11"/>
        </row>
        <row r="12">
          <cell r="A12">
            <v>9257008</v>
          </cell>
          <cell r="B12" t="str">
            <v>Gosberton House Academy</v>
          </cell>
          <cell r="C12"/>
          <cell r="D12">
            <v>3.125E-2</v>
          </cell>
          <cell r="E12">
            <v>0.46875</v>
          </cell>
          <cell r="F12">
            <v>2.0833333333333332E-2</v>
          </cell>
          <cell r="G12">
            <v>0.36458333333333331</v>
          </cell>
          <cell r="H12">
            <v>0</v>
          </cell>
          <cell r="I12">
            <v>0.10416666666666667</v>
          </cell>
          <cell r="J12">
            <v>1.0416666666666666E-2</v>
          </cell>
          <cell r="K12">
            <v>96</v>
          </cell>
          <cell r="L12">
            <v>1185627</v>
          </cell>
          <cell r="M12"/>
          <cell r="N12">
            <v>101</v>
          </cell>
          <cell r="O12">
            <v>1247378.40625</v>
          </cell>
          <cell r="P12"/>
          <cell r="Q12">
            <v>61751.40625</v>
          </cell>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cell r="AW12"/>
          <cell r="AX12"/>
          <cell r="AY12"/>
        </row>
        <row r="13">
          <cell r="A13">
            <v>9257034</v>
          </cell>
          <cell r="B13" t="str">
            <v>Inspire Connected Communities Trust - Aegir School</v>
          </cell>
          <cell r="C13"/>
          <cell r="D13">
            <v>8.2758620689655171E-2</v>
          </cell>
          <cell r="E13">
            <v>0.55862068965517242</v>
          </cell>
          <cell r="F13">
            <v>7.586206896551724E-2</v>
          </cell>
          <cell r="G13">
            <v>0.16551724137931034</v>
          </cell>
          <cell r="H13">
            <v>4.1379310344827586E-2</v>
          </cell>
          <cell r="I13">
            <v>6.2068965517241378E-2</v>
          </cell>
          <cell r="J13">
            <v>1.3793103448275862E-2</v>
          </cell>
          <cell r="K13">
            <v>145</v>
          </cell>
          <cell r="L13">
            <v>1605062</v>
          </cell>
          <cell r="M13"/>
          <cell r="N13">
            <v>165</v>
          </cell>
          <cell r="O13">
            <v>1826449.8620689658</v>
          </cell>
          <cell r="P13"/>
          <cell r="Q13">
            <v>221387.8620689658</v>
          </cell>
          <cell r="R13"/>
          <cell r="S13"/>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cell r="AW13"/>
          <cell r="AX13"/>
          <cell r="AY13"/>
        </row>
        <row r="14">
          <cell r="A14">
            <v>9257009</v>
          </cell>
          <cell r="B14" t="str">
            <v>Tulip Academy</v>
          </cell>
          <cell r="C14"/>
          <cell r="D14">
            <v>0.10822510822510822</v>
          </cell>
          <cell r="E14">
            <v>0.47186147186147187</v>
          </cell>
          <cell r="F14">
            <v>6.0606060606060608E-2</v>
          </cell>
          <cell r="G14">
            <v>0.15151515151515152</v>
          </cell>
          <cell r="H14">
            <v>3.4632034632034632E-2</v>
          </cell>
          <cell r="I14">
            <v>9.9567099567099568E-2</v>
          </cell>
          <cell r="J14">
            <v>7.3593073593073599E-2</v>
          </cell>
          <cell r="K14">
            <v>231</v>
          </cell>
          <cell r="L14">
            <v>2811134</v>
          </cell>
          <cell r="M14"/>
          <cell r="N14">
            <v>240.00000000000003</v>
          </cell>
          <cell r="O14">
            <v>2920658.7012987016</v>
          </cell>
          <cell r="P14"/>
          <cell r="Q14">
            <v>109524.70129870158</v>
          </cell>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row>
        <row r="15">
          <cell r="A15">
            <v>9257029</v>
          </cell>
          <cell r="B15" t="str">
            <v>Greenfields Academy</v>
          </cell>
          <cell r="C15"/>
          <cell r="D15">
            <v>0</v>
          </cell>
          <cell r="E15">
            <v>0</v>
          </cell>
          <cell r="F15">
            <v>1</v>
          </cell>
          <cell r="G15">
            <v>0</v>
          </cell>
          <cell r="H15">
            <v>0</v>
          </cell>
          <cell r="I15">
            <v>0</v>
          </cell>
          <cell r="J15">
            <v>0</v>
          </cell>
          <cell r="K15">
            <v>67</v>
          </cell>
          <cell r="L15">
            <v>1074345</v>
          </cell>
          <cell r="M15"/>
          <cell r="N15">
            <v>82</v>
          </cell>
          <cell r="O15">
            <v>1314870</v>
          </cell>
          <cell r="P15"/>
          <cell r="Q15">
            <v>240525</v>
          </cell>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row>
        <row r="16">
          <cell r="A16">
            <v>9257032</v>
          </cell>
          <cell r="B16" t="str">
            <v>Athena School</v>
          </cell>
          <cell r="C16"/>
          <cell r="D16">
            <v>0</v>
          </cell>
          <cell r="E16">
            <v>0</v>
          </cell>
          <cell r="F16">
            <v>1</v>
          </cell>
          <cell r="G16">
            <v>0</v>
          </cell>
          <cell r="H16">
            <v>0</v>
          </cell>
          <cell r="I16">
            <v>0</v>
          </cell>
          <cell r="J16">
            <v>0</v>
          </cell>
          <cell r="K16">
            <v>109</v>
          </cell>
          <cell r="L16">
            <v>1747815</v>
          </cell>
          <cell r="M16"/>
          <cell r="N16">
            <v>117</v>
          </cell>
          <cell r="O16">
            <v>1876095</v>
          </cell>
          <cell r="P16"/>
          <cell r="Q16">
            <v>128280</v>
          </cell>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row>
        <row r="17">
          <cell r="A17">
            <v>9257030</v>
          </cell>
          <cell r="B17" t="str">
            <v>Woodlands Academy</v>
          </cell>
          <cell r="C17"/>
          <cell r="D17">
            <v>0</v>
          </cell>
          <cell r="E17">
            <v>0</v>
          </cell>
          <cell r="F17">
            <v>0.96341463414634143</v>
          </cell>
          <cell r="G17">
            <v>0</v>
          </cell>
          <cell r="H17">
            <v>0</v>
          </cell>
          <cell r="I17">
            <v>0</v>
          </cell>
          <cell r="J17">
            <v>3.6585365853658534E-2</v>
          </cell>
          <cell r="K17">
            <v>82</v>
          </cell>
          <cell r="L17">
            <v>1344789</v>
          </cell>
          <cell r="M17"/>
          <cell r="N17">
            <v>85</v>
          </cell>
          <cell r="O17">
            <v>1393988.5975609757</v>
          </cell>
          <cell r="P17"/>
          <cell r="Q17">
            <v>49199.597560975701</v>
          </cell>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row>
        <row r="18">
          <cell r="A18">
            <v>9257028</v>
          </cell>
          <cell r="B18" t="str">
            <v>Willoughby Academy</v>
          </cell>
          <cell r="C18"/>
          <cell r="D18">
            <v>2.2388059701492536E-2</v>
          </cell>
          <cell r="E18">
            <v>0.2462686567164179</v>
          </cell>
          <cell r="F18">
            <v>4.4776119402985072E-2</v>
          </cell>
          <cell r="G18">
            <v>0.26119402985074625</v>
          </cell>
          <cell r="H18">
            <v>5.9701492537313432E-2</v>
          </cell>
          <cell r="I18">
            <v>0.17164179104477612</v>
          </cell>
          <cell r="J18">
            <v>0.19402985074626866</v>
          </cell>
          <cell r="K18">
            <v>134</v>
          </cell>
          <cell r="L18">
            <v>2161104</v>
          </cell>
          <cell r="M18"/>
          <cell r="N18">
            <v>148</v>
          </cell>
          <cell r="O18">
            <v>2386890.9850746272</v>
          </cell>
          <cell r="P18"/>
          <cell r="Q18">
            <v>225786.98507462721</v>
          </cell>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row>
        <row r="19">
          <cell r="A19">
            <v>9257021</v>
          </cell>
          <cell r="B19" t="str">
            <v>St Lawrence School</v>
          </cell>
          <cell r="C19"/>
          <cell r="D19">
            <v>0.10169491525423729</v>
          </cell>
          <cell r="E19">
            <v>0.61016949152542377</v>
          </cell>
          <cell r="F19">
            <v>8.4745762711864403E-2</v>
          </cell>
          <cell r="G19">
            <v>0.12994350282485875</v>
          </cell>
          <cell r="H19">
            <v>2.2598870056497175E-2</v>
          </cell>
          <cell r="I19">
            <v>2.8248587570621469E-2</v>
          </cell>
          <cell r="J19">
            <v>2.2598870056497175E-2</v>
          </cell>
          <cell r="K19">
            <v>177</v>
          </cell>
          <cell r="L19">
            <v>1858808</v>
          </cell>
          <cell r="M19"/>
          <cell r="N19">
            <v>180</v>
          </cell>
          <cell r="O19">
            <v>1890313.2203389828</v>
          </cell>
          <cell r="P19"/>
          <cell r="Q19">
            <v>31505.220338982763</v>
          </cell>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row>
        <row r="20">
          <cell r="A20">
            <v>9257015</v>
          </cell>
          <cell r="B20" t="str">
            <v>St Christopher's Special School</v>
          </cell>
          <cell r="C20"/>
          <cell r="D20">
            <v>1.5625E-2</v>
          </cell>
          <cell r="E20">
            <v>0.30625000000000002</v>
          </cell>
          <cell r="F20">
            <v>1.2500000000000001E-2</v>
          </cell>
          <cell r="G20">
            <v>0.359375</v>
          </cell>
          <cell r="H20">
            <v>1.8749999999999999E-2</v>
          </cell>
          <cell r="I20">
            <v>0.22500000000000001</v>
          </cell>
          <cell r="J20">
            <v>6.25E-2</v>
          </cell>
          <cell r="K20">
            <v>320</v>
          </cell>
          <cell r="L20">
            <v>4636437</v>
          </cell>
          <cell r="M20"/>
          <cell r="N20">
            <v>320</v>
          </cell>
          <cell r="O20">
            <v>4636437</v>
          </cell>
          <cell r="P20"/>
          <cell r="Q20">
            <v>0</v>
          </cell>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row>
        <row r="21">
          <cell r="A21">
            <v>9257016</v>
          </cell>
          <cell r="B21" t="str">
            <v>St Francis Special Needs School</v>
          </cell>
          <cell r="C21"/>
          <cell r="D21">
            <v>0</v>
          </cell>
          <cell r="E21">
            <v>3.5087719298245612E-2</v>
          </cell>
          <cell r="F21">
            <v>5.8479532163742687E-3</v>
          </cell>
          <cell r="G21">
            <v>0.30409356725146197</v>
          </cell>
          <cell r="H21">
            <v>0.15204678362573099</v>
          </cell>
          <cell r="I21">
            <v>5.2631578947368418E-2</v>
          </cell>
          <cell r="J21">
            <v>0.45029239766081869</v>
          </cell>
          <cell r="K21">
            <v>171</v>
          </cell>
          <cell r="L21">
            <v>3501632</v>
          </cell>
          <cell r="M21"/>
          <cell r="N21">
            <v>176</v>
          </cell>
          <cell r="O21">
            <v>3604018.900584795</v>
          </cell>
          <cell r="P21"/>
          <cell r="Q21">
            <v>102386.90058479505</v>
          </cell>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row>
        <row r="22">
          <cell r="A22"/>
          <cell r="B22"/>
          <cell r="C22"/>
          <cell r="D22"/>
          <cell r="E22"/>
          <cell r="F22"/>
          <cell r="G22"/>
          <cell r="H22"/>
          <cell r="I22"/>
          <cell r="J22"/>
          <cell r="K22"/>
          <cell r="L22"/>
          <cell r="M22"/>
          <cell r="N22"/>
          <cell r="O22"/>
          <cell r="P22"/>
          <cell r="Q22"/>
          <cell r="R22"/>
          <cell r="S22"/>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cell r="AW22"/>
          <cell r="AX22"/>
          <cell r="AY22"/>
        </row>
        <row r="23">
          <cell r="A23"/>
          <cell r="B23"/>
          <cell r="C23"/>
          <cell r="D23"/>
          <cell r="E23"/>
          <cell r="F23"/>
          <cell r="G23"/>
          <cell r="H23"/>
          <cell r="I23"/>
          <cell r="J23"/>
          <cell r="K23"/>
          <cell r="L23"/>
          <cell r="M23"/>
          <cell r="N23"/>
          <cell r="O23"/>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row>
        <row r="24">
          <cell r="A24"/>
          <cell r="B24"/>
          <cell r="C24"/>
          <cell r="D24"/>
          <cell r="E24" t="str">
            <v>Band A</v>
          </cell>
          <cell r="F24"/>
          <cell r="G24">
            <v>6733</v>
          </cell>
          <cell r="H24"/>
          <cell r="I24">
            <v>6733.4806965127136</v>
          </cell>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row>
        <row r="25">
          <cell r="A25"/>
          <cell r="B25"/>
          <cell r="C25"/>
          <cell r="D25"/>
          <cell r="E25"/>
          <cell r="F25"/>
          <cell r="G25"/>
          <cell r="H25"/>
          <cell r="I25"/>
          <cell r="J25"/>
          <cell r="K25"/>
          <cell r="L25"/>
          <cell r="M25"/>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row>
        <row r="26">
          <cell r="A26"/>
          <cell r="B26"/>
          <cell r="C26"/>
          <cell r="D26"/>
          <cell r="E26" t="str">
            <v>Band B</v>
          </cell>
          <cell r="F26"/>
          <cell r="G26">
            <v>7996</v>
          </cell>
          <cell r="H26"/>
          <cell r="I26">
            <v>7996.1200188811354</v>
          </cell>
          <cell r="J26"/>
          <cell r="K26"/>
          <cell r="L26"/>
          <cell r="M26"/>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row>
        <row r="27">
          <cell r="A27"/>
          <cell r="B27"/>
          <cell r="C27"/>
          <cell r="D27"/>
          <cell r="E27"/>
          <cell r="F27"/>
          <cell r="G27"/>
          <cell r="H27"/>
          <cell r="I27"/>
          <cell r="J27"/>
          <cell r="K27"/>
          <cell r="L27"/>
          <cell r="M27"/>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row>
        <row r="28">
          <cell r="A28"/>
          <cell r="B28"/>
          <cell r="C28"/>
          <cell r="D28"/>
          <cell r="E28" t="str">
            <v>Band C</v>
          </cell>
          <cell r="F28"/>
          <cell r="G28">
            <v>16035</v>
          </cell>
          <cell r="H28"/>
          <cell r="I28">
            <v>16034.561929506133</v>
          </cell>
          <cell r="J28"/>
          <cell r="K28"/>
          <cell r="L28"/>
          <cell r="M28"/>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row>
        <row r="29">
          <cell r="A29"/>
          <cell r="B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row>
        <row r="30">
          <cell r="A30"/>
          <cell r="B30"/>
          <cell r="C30"/>
          <cell r="D30"/>
          <cell r="E30" t="str">
            <v>Band D</v>
          </cell>
          <cell r="F30"/>
          <cell r="G30">
            <v>16392</v>
          </cell>
          <cell r="H30"/>
          <cell r="I30">
            <v>16392.177337960082</v>
          </cell>
          <cell r="J30"/>
          <cell r="K30"/>
          <cell r="L30"/>
          <cell r="M30"/>
          <cell r="N30"/>
          <cell r="O30"/>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row>
        <row r="31">
          <cell r="A31"/>
          <cell r="B31"/>
          <cell r="C31"/>
          <cell r="D31"/>
          <cell r="E31"/>
          <cell r="F31"/>
          <cell r="G31"/>
          <cell r="H31"/>
          <cell r="I31"/>
          <cell r="J31"/>
          <cell r="K31"/>
          <cell r="L31"/>
          <cell r="M31"/>
          <cell r="N31"/>
          <cell r="O31"/>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row>
        <row r="32">
          <cell r="A32"/>
          <cell r="B32"/>
          <cell r="C32"/>
          <cell r="D32"/>
          <cell r="E32" t="str">
            <v>Band E</v>
          </cell>
          <cell r="F32"/>
          <cell r="G32">
            <v>16392</v>
          </cell>
          <cell r="H32"/>
          <cell r="I32">
            <v>16392.177337960082</v>
          </cell>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row>
        <row r="33">
          <cell r="A33"/>
          <cell r="B33"/>
          <cell r="C33"/>
          <cell r="D33"/>
          <cell r="E33"/>
          <cell r="F33"/>
          <cell r="G33"/>
          <cell r="H33"/>
          <cell r="I33"/>
          <cell r="J33"/>
          <cell r="K33"/>
          <cell r="L33"/>
          <cell r="M33"/>
          <cell r="N33"/>
          <cell r="O33"/>
          <cell r="P33"/>
          <cell r="Q33"/>
          <cell r="R33"/>
          <cell r="S33"/>
          <cell r="T33"/>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cell r="AW33"/>
          <cell r="AX33"/>
          <cell r="AY33"/>
        </row>
        <row r="34">
          <cell r="A34"/>
          <cell r="B34"/>
          <cell r="C34"/>
          <cell r="D34"/>
          <cell r="E34" t="str">
            <v>Band F</v>
          </cell>
          <cell r="F34"/>
          <cell r="G34">
            <v>17381</v>
          </cell>
          <cell r="H34"/>
          <cell r="I34">
            <v>17381.40953203903</v>
          </cell>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row>
        <row r="35">
          <cell r="A35"/>
          <cell r="B35"/>
          <cell r="C35"/>
          <cell r="D35"/>
          <cell r="E35"/>
          <cell r="F35"/>
          <cell r="G35"/>
          <cell r="H35"/>
          <cell r="I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row>
        <row r="36">
          <cell r="A36"/>
          <cell r="B36"/>
          <cell r="C36"/>
          <cell r="D36"/>
          <cell r="E36" t="str">
            <v>Band G</v>
          </cell>
          <cell r="F36"/>
          <cell r="G36">
            <v>26008</v>
          </cell>
          <cell r="H36"/>
          <cell r="I36">
            <v>26008.393342105261</v>
          </cell>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row>
        <row r="37">
          <cell r="A37"/>
          <cell r="B37"/>
          <cell r="C37"/>
          <cell r="D37"/>
          <cell r="E37"/>
          <cell r="F37"/>
          <cell r="G37"/>
          <cell r="H37"/>
          <cell r="I37"/>
          <cell r="J37"/>
          <cell r="K37"/>
          <cell r="L37"/>
          <cell r="M37"/>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row>
      </sheetData>
      <sheetData sheetId="53">
        <row r="6">
          <cell r="A6">
            <v>9257010</v>
          </cell>
          <cell r="B6" t="str">
            <v>Boston Endeavour Academy</v>
          </cell>
          <cell r="C6"/>
          <cell r="D6">
            <v>6.4102564102564097E-2</v>
          </cell>
          <cell r="E6">
            <v>0.36538461538461536</v>
          </cell>
          <cell r="F6">
            <v>1.9230769230769232E-2</v>
          </cell>
          <cell r="G6">
            <v>0.28205128205128205</v>
          </cell>
          <cell r="H6">
            <v>4.4871794871794872E-2</v>
          </cell>
          <cell r="I6">
            <v>0.12179487179487179</v>
          </cell>
          <cell r="J6">
            <v>0.10256410256410256</v>
          </cell>
        </row>
        <row r="7">
          <cell r="A7">
            <v>9257005</v>
          </cell>
          <cell r="B7" t="str">
            <v>Newton Bridge Academy</v>
          </cell>
          <cell r="C7"/>
          <cell r="D7">
            <v>8.4070796460176997E-2</v>
          </cell>
          <cell r="E7">
            <v>0.46017699115044247</v>
          </cell>
          <cell r="F7">
            <v>8.8495575221238937E-2</v>
          </cell>
          <cell r="G7">
            <v>0.13716814159292035</v>
          </cell>
          <cell r="H7">
            <v>4.4247787610619468E-2</v>
          </cell>
          <cell r="I7">
            <v>0.13274336283185842</v>
          </cell>
          <cell r="J7">
            <v>5.3097345132743362E-2</v>
          </cell>
        </row>
        <row r="8">
          <cell r="A8">
            <v>9257025</v>
          </cell>
          <cell r="B8" t="str">
            <v>St Bernards School, Louth</v>
          </cell>
          <cell r="C8"/>
          <cell r="D8">
            <v>4.5871559633027525E-2</v>
          </cell>
          <cell r="E8">
            <v>0.5321100917431193</v>
          </cell>
          <cell r="F8">
            <v>2.7522935779816515E-2</v>
          </cell>
          <cell r="G8">
            <v>0.27522935779816515</v>
          </cell>
          <cell r="H8">
            <v>2.7522935779816515E-2</v>
          </cell>
          <cell r="I8">
            <v>4.5871559633027525E-2</v>
          </cell>
          <cell r="J8">
            <v>4.5871559633027525E-2</v>
          </cell>
        </row>
        <row r="9">
          <cell r="A9">
            <v>9257024</v>
          </cell>
          <cell r="B9" t="str">
            <v>The Eresby School</v>
          </cell>
          <cell r="C9"/>
          <cell r="D9">
            <v>0.1</v>
          </cell>
          <cell r="E9">
            <v>0.6</v>
          </cell>
          <cell r="F9">
            <v>1.8181818181818181E-2</v>
          </cell>
          <cell r="G9">
            <v>0.17272727272727273</v>
          </cell>
          <cell r="H9">
            <v>4.5454545454545456E-2</v>
          </cell>
          <cell r="I9">
            <v>1.8181818181818181E-2</v>
          </cell>
          <cell r="J9">
            <v>4.5454545454545456E-2</v>
          </cell>
        </row>
        <row r="10">
          <cell r="A10">
            <v>9257031</v>
          </cell>
          <cell r="B10" t="str">
            <v>Fortuna School</v>
          </cell>
          <cell r="C10"/>
          <cell r="D10">
            <v>0</v>
          </cell>
          <cell r="E10">
            <v>0</v>
          </cell>
          <cell r="F10">
            <v>0.95588235294117652</v>
          </cell>
          <cell r="G10">
            <v>0</v>
          </cell>
          <cell r="H10">
            <v>0</v>
          </cell>
          <cell r="I10">
            <v>0</v>
          </cell>
          <cell r="J10">
            <v>4.4117647058823532E-2</v>
          </cell>
        </row>
        <row r="11">
          <cell r="A11">
            <v>9257033</v>
          </cell>
          <cell r="B11" t="str">
            <v>Mayflower Academy Warren Wood - A Specialist Academy</v>
          </cell>
          <cell r="C11"/>
          <cell r="D11">
            <v>7.7519379844961239E-3</v>
          </cell>
          <cell r="E11">
            <v>0.5736434108527132</v>
          </cell>
          <cell r="F11">
            <v>1.5503875968992248E-2</v>
          </cell>
          <cell r="G11">
            <v>0.2868217054263566</v>
          </cell>
          <cell r="H11">
            <v>0</v>
          </cell>
          <cell r="I11">
            <v>6.2015503875968991E-2</v>
          </cell>
          <cell r="J11">
            <v>5.4263565891472867E-2</v>
          </cell>
        </row>
        <row r="12">
          <cell r="A12">
            <v>9257008</v>
          </cell>
          <cell r="B12" t="str">
            <v>Gosberton House Academy</v>
          </cell>
          <cell r="C12"/>
          <cell r="D12">
            <v>3.125E-2</v>
          </cell>
          <cell r="E12">
            <v>0.46875</v>
          </cell>
          <cell r="F12">
            <v>2.0833333333333332E-2</v>
          </cell>
          <cell r="G12">
            <v>0.36458333333333331</v>
          </cell>
          <cell r="H12">
            <v>0</v>
          </cell>
          <cell r="I12">
            <v>0.10416666666666667</v>
          </cell>
          <cell r="J12">
            <v>1.0416666666666666E-2</v>
          </cell>
        </row>
        <row r="13">
          <cell r="A13">
            <v>9257034</v>
          </cell>
          <cell r="B13" t="str">
            <v>Inspire Connected Communities Trust - Aegir School</v>
          </cell>
          <cell r="C13"/>
          <cell r="D13">
            <v>8.2758620689655171E-2</v>
          </cell>
          <cell r="E13">
            <v>0.55862068965517242</v>
          </cell>
          <cell r="F13">
            <v>7.586206896551724E-2</v>
          </cell>
          <cell r="G13">
            <v>0.16551724137931034</v>
          </cell>
          <cell r="H13">
            <v>4.1379310344827586E-2</v>
          </cell>
          <cell r="I13">
            <v>6.2068965517241378E-2</v>
          </cell>
          <cell r="J13">
            <v>1.3793103448275862E-2</v>
          </cell>
        </row>
        <row r="14">
          <cell r="A14">
            <v>9257009</v>
          </cell>
          <cell r="B14" t="str">
            <v>Tulip Academy</v>
          </cell>
          <cell r="C14"/>
          <cell r="D14">
            <v>0.10822510822510822</v>
          </cell>
          <cell r="E14">
            <v>0.47186147186147187</v>
          </cell>
          <cell r="F14">
            <v>6.0606060606060608E-2</v>
          </cell>
          <cell r="G14">
            <v>0.15151515151515152</v>
          </cell>
          <cell r="H14">
            <v>3.4632034632034632E-2</v>
          </cell>
          <cell r="I14">
            <v>9.9567099567099568E-2</v>
          </cell>
          <cell r="J14">
            <v>7.3593073593073599E-2</v>
          </cell>
        </row>
        <row r="15">
          <cell r="A15">
            <v>9257029</v>
          </cell>
          <cell r="B15" t="str">
            <v>Greenfields Academy</v>
          </cell>
          <cell r="C15"/>
          <cell r="D15">
            <v>0</v>
          </cell>
          <cell r="E15">
            <v>0</v>
          </cell>
          <cell r="F15">
            <v>1</v>
          </cell>
          <cell r="G15">
            <v>0</v>
          </cell>
          <cell r="H15">
            <v>0</v>
          </cell>
          <cell r="I15">
            <v>0</v>
          </cell>
          <cell r="J15">
            <v>0</v>
          </cell>
        </row>
        <row r="16">
          <cell r="A16">
            <v>9257032</v>
          </cell>
          <cell r="B16" t="str">
            <v>Athena School</v>
          </cell>
          <cell r="C16"/>
          <cell r="D16">
            <v>0</v>
          </cell>
          <cell r="E16">
            <v>0</v>
          </cell>
          <cell r="F16">
            <v>1</v>
          </cell>
          <cell r="G16">
            <v>0</v>
          </cell>
          <cell r="H16">
            <v>0</v>
          </cell>
          <cell r="I16">
            <v>0</v>
          </cell>
          <cell r="J16">
            <v>0</v>
          </cell>
        </row>
        <row r="17">
          <cell r="A17">
            <v>9257030</v>
          </cell>
          <cell r="B17" t="str">
            <v>Woodlands Academy</v>
          </cell>
          <cell r="C17"/>
          <cell r="D17">
            <v>0</v>
          </cell>
          <cell r="E17">
            <v>0</v>
          </cell>
          <cell r="F17">
            <v>0.96341463414634143</v>
          </cell>
          <cell r="G17">
            <v>0</v>
          </cell>
          <cell r="H17">
            <v>0</v>
          </cell>
          <cell r="I17">
            <v>0</v>
          </cell>
          <cell r="J17">
            <v>3.6585365853658534E-2</v>
          </cell>
        </row>
        <row r="18">
          <cell r="A18">
            <v>9257028</v>
          </cell>
          <cell r="B18" t="str">
            <v>Willoughby Academy</v>
          </cell>
          <cell r="C18"/>
          <cell r="D18">
            <v>2.2388059701492536E-2</v>
          </cell>
          <cell r="E18">
            <v>0.2462686567164179</v>
          </cell>
          <cell r="F18">
            <v>4.4776119402985072E-2</v>
          </cell>
          <cell r="G18">
            <v>0.26119402985074625</v>
          </cell>
          <cell r="H18">
            <v>5.9701492537313432E-2</v>
          </cell>
          <cell r="I18">
            <v>0.17164179104477612</v>
          </cell>
          <cell r="J18">
            <v>0.19402985074626866</v>
          </cell>
        </row>
        <row r="19">
          <cell r="A19">
            <v>9257021</v>
          </cell>
          <cell r="B19" t="str">
            <v>St Lawrence School</v>
          </cell>
          <cell r="C19"/>
          <cell r="D19">
            <v>0.10169491525423729</v>
          </cell>
          <cell r="E19">
            <v>0.61016949152542377</v>
          </cell>
          <cell r="F19">
            <v>8.4745762711864403E-2</v>
          </cell>
          <cell r="G19">
            <v>0.12994350282485875</v>
          </cell>
          <cell r="H19">
            <v>2.2598870056497175E-2</v>
          </cell>
          <cell r="I19">
            <v>2.8248587570621469E-2</v>
          </cell>
          <cell r="J19">
            <v>2.2598870056497175E-2</v>
          </cell>
        </row>
        <row r="20">
          <cell r="A20">
            <v>9257015</v>
          </cell>
          <cell r="B20" t="str">
            <v>St Christopher's Special School</v>
          </cell>
          <cell r="C20"/>
          <cell r="D20">
            <v>1.5625E-2</v>
          </cell>
          <cell r="E20">
            <v>0.30625000000000002</v>
          </cell>
          <cell r="F20">
            <v>1.2500000000000001E-2</v>
          </cell>
          <cell r="G20">
            <v>0.359375</v>
          </cell>
          <cell r="H20">
            <v>1.8749999999999999E-2</v>
          </cell>
          <cell r="I20">
            <v>0.22500000000000001</v>
          </cell>
          <cell r="J20">
            <v>6.25E-2</v>
          </cell>
        </row>
        <row r="21">
          <cell r="A21">
            <v>9257016</v>
          </cell>
          <cell r="B21" t="str">
            <v>St Francis Special Needs School</v>
          </cell>
          <cell r="C21"/>
          <cell r="D21">
            <v>0</v>
          </cell>
          <cell r="E21">
            <v>3.5087719298245612E-2</v>
          </cell>
          <cell r="F21">
            <v>5.8479532163742687E-3</v>
          </cell>
          <cell r="G21">
            <v>0.30409356725146197</v>
          </cell>
          <cell r="H21">
            <v>0.15204678362573099</v>
          </cell>
          <cell r="I21">
            <v>5.2631578947368418E-2</v>
          </cell>
          <cell r="J21">
            <v>0.45029239766081869</v>
          </cell>
        </row>
        <row r="98">
          <cell r="A98"/>
          <cell r="B98"/>
          <cell r="C98"/>
          <cell r="D98" t="str">
            <v>Pre-16</v>
          </cell>
          <cell r="E98"/>
          <cell r="F98"/>
          <cell r="G98" t="str">
            <v>Post-16</v>
          </cell>
          <cell r="H98"/>
          <cell r="I98"/>
          <cell r="J98" t="str">
            <v>Summary</v>
          </cell>
          <cell r="K98" t="str">
            <v>Pre-16</v>
          </cell>
          <cell r="L98"/>
          <cell r="M98"/>
          <cell r="N98" t="str">
            <v>Post-16</v>
          </cell>
          <cell r="O98"/>
          <cell r="P98"/>
          <cell r="Q98" t="str">
            <v>Summary</v>
          </cell>
          <cell r="R98" t="str">
            <v>Summary</v>
          </cell>
          <cell r="S98"/>
          <cell r="T98"/>
          <cell r="U98"/>
          <cell r="V98"/>
          <cell r="W98"/>
          <cell r="X98"/>
          <cell r="Y98"/>
          <cell r="Z98"/>
          <cell r="AA98"/>
          <cell r="AB98"/>
          <cell r="AC98"/>
          <cell r="AD98"/>
          <cell r="AE98"/>
          <cell r="AF98"/>
          <cell r="AG98"/>
          <cell r="AH98"/>
          <cell r="AI98"/>
          <cell r="AJ98"/>
          <cell r="AK98" t="str">
            <v>Final Place &amp; Top up Funding</v>
          </cell>
          <cell r="AL98"/>
          <cell r="AM98"/>
          <cell r="AN98"/>
        </row>
        <row r="99">
          <cell r="A99" t="str">
            <v>DfE Number</v>
          </cell>
          <cell r="B99" t="str">
            <v>School</v>
          </cell>
          <cell r="C99" t="str">
            <v>Group</v>
          </cell>
          <cell r="D99" t="str">
            <v>Pre-16 Funding (Apr-Aug)</v>
          </cell>
          <cell r="E99" t="str">
            <v>Pre-16 Funding (Sept-Mar)</v>
          </cell>
          <cell r="F99" t="str">
            <v>Total Pre-16 Funding</v>
          </cell>
          <cell r="G99" t="str">
            <v>Post-16 Funding (Apr-Jul)</v>
          </cell>
          <cell r="H99" t="str">
            <v>Post-16 Funding (Aug-Mar)</v>
          </cell>
          <cell r="I99" t="str">
            <v>Total Post-16 Funding</v>
          </cell>
          <cell r="J99" t="str">
            <v>Total Pre &amp; Post-16 Funding</v>
          </cell>
          <cell r="K99" t="str">
            <v>Additionality Funding (Apr-Aug)</v>
          </cell>
          <cell r="L99" t="str">
            <v>Additionality Funding (Sept-Mar)</v>
          </cell>
          <cell r="M99" t="str">
            <v>Total Additionality Funding</v>
          </cell>
          <cell r="N99" t="str">
            <v>Additionality Funding (Apr-Jul)</v>
          </cell>
          <cell r="O99" t="str">
            <v>Additionality Funding (Aug-Mar)</v>
          </cell>
          <cell r="P99" t="str">
            <v>Total Additionality Funding</v>
          </cell>
          <cell r="Q99" t="str">
            <v>Total Pre &amp; Post-16 Additionality</v>
          </cell>
          <cell r="R99" t="str">
            <v>Total Funding</v>
          </cell>
          <cell r="S99" t="str">
            <v>Average Places</v>
          </cell>
          <cell r="T99" t="str">
            <v>Ave. Band Value</v>
          </cell>
          <cell r="U99" t="str">
            <v>Ave. Band Value (Excl. Band G)</v>
          </cell>
          <cell r="V99" t="str">
            <v>Pre-16 Place Funding</v>
          </cell>
          <cell r="W99" t="str">
            <v>Post-16 Place Funding</v>
          </cell>
          <cell r="X99" t="str">
            <v>Total Place Funding</v>
          </cell>
          <cell r="Y99" t="str">
            <v>Total Funding</v>
          </cell>
          <cell r="Z99" t="str">
            <v>Teachers' Pay Grant</v>
          </cell>
          <cell r="AA99" t="str">
            <v>Teachers' Pension Grant</v>
          </cell>
          <cell r="AB99" t="str">
            <v>Top up Funding</v>
          </cell>
          <cell r="AC99" t="str">
            <v>Pre-16 Top up Apr-Aug</v>
          </cell>
          <cell r="AD99" t="str">
            <v>Pre-16 Top up Sept-Mar</v>
          </cell>
          <cell r="AE99" t="str">
            <v>Total Pre-16 Top up Funding</v>
          </cell>
          <cell r="AF99" t="str">
            <v>Post-16 Top up Apr-Jul</v>
          </cell>
          <cell r="AG99" t="str">
            <v>Post-16 Top up Aug-Mar</v>
          </cell>
          <cell r="AH99" t="str">
            <v>Total Post-16 Top up Funding</v>
          </cell>
          <cell r="AI99" t="str">
            <v>Total Top up Funding</v>
          </cell>
          <cell r="AJ99"/>
          <cell r="AK99"/>
          <cell r="AL99"/>
          <cell r="AM99"/>
          <cell r="AN99" t="str">
            <v>Band G 23/24</v>
          </cell>
        </row>
        <row r="100">
          <cell r="A100">
            <v>9257010</v>
          </cell>
          <cell r="B100" t="str">
            <v>Boston Endeavour</v>
          </cell>
          <cell r="C100"/>
          <cell r="D100">
            <v>816790.52350427362</v>
          </cell>
          <cell r="E100">
            <v>1143506.732905983</v>
          </cell>
          <cell r="F100">
            <v>1960297.2564102565</v>
          </cell>
          <cell r="G100">
            <v>73626.188034188031</v>
          </cell>
          <cell r="H100">
            <v>147252.37606837606</v>
          </cell>
          <cell r="I100">
            <v>220878.56410256409</v>
          </cell>
          <cell r="J100">
            <v>2181175.8205128205</v>
          </cell>
          <cell r="K100">
            <v>0</v>
          </cell>
          <cell r="L100">
            <v>0</v>
          </cell>
          <cell r="M100">
            <v>0</v>
          </cell>
          <cell r="N100">
            <v>0</v>
          </cell>
          <cell r="O100">
            <v>0</v>
          </cell>
          <cell r="P100">
            <v>0</v>
          </cell>
          <cell r="Q100">
            <v>0</v>
          </cell>
          <cell r="R100">
            <v>2181175.8205128205</v>
          </cell>
          <cell r="S100">
            <v>158</v>
          </cell>
          <cell r="T100">
            <v>13804.910256410256</v>
          </cell>
          <cell r="U100"/>
          <cell r="V100">
            <v>1420000</v>
          </cell>
          <cell r="W100">
            <v>160000</v>
          </cell>
          <cell r="X100">
            <v>1580000</v>
          </cell>
          <cell r="Y100">
            <v>2997307.2788426178</v>
          </cell>
          <cell r="Z100"/>
          <cell r="AA100"/>
          <cell r="AB100">
            <v>1417307.2788426178</v>
          </cell>
          <cell r="AC100">
            <v>530742.70462988329</v>
          </cell>
          <cell r="AD100">
            <v>743039.78648183658</v>
          </cell>
          <cell r="AE100">
            <v>1273782.49111172</v>
          </cell>
          <cell r="AF100">
            <v>47841.595910299337</v>
          </cell>
          <cell r="AG100">
            <v>95683.191820598673</v>
          </cell>
          <cell r="AH100">
            <v>143524.78773089801</v>
          </cell>
          <cell r="AI100">
            <v>1417307.278842618</v>
          </cell>
          <cell r="AJ100"/>
          <cell r="AK100">
            <v>2997307.2788426178</v>
          </cell>
          <cell r="AL100" t="str">
            <v>A</v>
          </cell>
          <cell r="AM100"/>
          <cell r="AN100">
            <v>421462.97435897432</v>
          </cell>
        </row>
        <row r="101">
          <cell r="A101">
            <v>9257005</v>
          </cell>
          <cell r="B101" t="str">
            <v>Grantham Sandon</v>
          </cell>
          <cell r="C101"/>
          <cell r="D101">
            <v>1222386.6924778761</v>
          </cell>
          <cell r="E101">
            <v>1696960.3495575225</v>
          </cell>
          <cell r="F101">
            <v>2919347.0420353985</v>
          </cell>
          <cell r="G101">
            <v>90394.982300884963</v>
          </cell>
          <cell r="H101">
            <v>197225.41592920353</v>
          </cell>
          <cell r="I101">
            <v>287620.39823008853</v>
          </cell>
          <cell r="J101">
            <v>3206967.4402654869</v>
          </cell>
          <cell r="K101">
            <v>0</v>
          </cell>
          <cell r="L101">
            <v>0</v>
          </cell>
          <cell r="M101">
            <v>0</v>
          </cell>
          <cell r="N101">
            <v>0</v>
          </cell>
          <cell r="O101">
            <v>0</v>
          </cell>
          <cell r="P101">
            <v>0</v>
          </cell>
          <cell r="Q101">
            <v>0</v>
          </cell>
          <cell r="R101">
            <v>3206967.4402654869</v>
          </cell>
          <cell r="S101">
            <v>260.16666666666674</v>
          </cell>
          <cell r="T101">
            <v>12326.588495575219</v>
          </cell>
          <cell r="U101"/>
          <cell r="V101">
            <v>2368333.3333333335</v>
          </cell>
          <cell r="W101">
            <v>233333.33333333331</v>
          </cell>
          <cell r="X101">
            <v>2601666.666666667</v>
          </cell>
          <cell r="Y101">
            <v>4217453.4402654869</v>
          </cell>
          <cell r="Z101"/>
          <cell r="AA101"/>
          <cell r="AB101">
            <v>1615786.77359882</v>
          </cell>
          <cell r="AC101">
            <v>615882.85092331679</v>
          </cell>
          <cell r="AD101">
            <v>854990.3106935455</v>
          </cell>
          <cell r="AE101">
            <v>1470873.1616168623</v>
          </cell>
          <cell r="AF101">
            <v>45544.27805147216</v>
          </cell>
          <cell r="AG101">
            <v>99369.333930484718</v>
          </cell>
          <cell r="AH101">
            <v>144913.61198195687</v>
          </cell>
          <cell r="AI101">
            <v>1615786.773598819</v>
          </cell>
          <cell r="AJ101"/>
          <cell r="AK101">
            <v>4217453.440265486</v>
          </cell>
          <cell r="AL101" t="str">
            <v>A</v>
          </cell>
          <cell r="AM101"/>
          <cell r="AN101">
            <v>359278.6548672567</v>
          </cell>
        </row>
        <row r="102">
          <cell r="A102">
            <v>9257025</v>
          </cell>
          <cell r="B102" t="str">
            <v>Louth St Bernard's</v>
          </cell>
          <cell r="C102"/>
          <cell r="D102">
            <v>438458.99082568818</v>
          </cell>
          <cell r="E102">
            <v>627793.55504587153</v>
          </cell>
          <cell r="F102">
            <v>1066252.5458715598</v>
          </cell>
          <cell r="G102">
            <v>87691.798165137618</v>
          </cell>
          <cell r="H102">
            <v>199299.54128440368</v>
          </cell>
          <cell r="I102">
            <v>286991.33944954129</v>
          </cell>
          <cell r="J102">
            <v>1353243.8853211012</v>
          </cell>
          <cell r="K102">
            <v>0</v>
          </cell>
          <cell r="L102">
            <v>0</v>
          </cell>
          <cell r="M102">
            <v>0</v>
          </cell>
          <cell r="N102">
            <v>0</v>
          </cell>
          <cell r="O102">
            <v>0</v>
          </cell>
          <cell r="P102">
            <v>0</v>
          </cell>
          <cell r="Q102">
            <v>0</v>
          </cell>
          <cell r="R102">
            <v>1353243.8853211012</v>
          </cell>
          <cell r="S102">
            <v>113.16666666666666</v>
          </cell>
          <cell r="T102">
            <v>11957.972477064224</v>
          </cell>
          <cell r="U102"/>
          <cell r="V102">
            <v>891666.66666666674</v>
          </cell>
          <cell r="W102">
            <v>240000</v>
          </cell>
          <cell r="X102">
            <v>1131666.6666666667</v>
          </cell>
          <cell r="Y102">
            <v>2052237.0298048959</v>
          </cell>
          <cell r="Z102"/>
          <cell r="AA102"/>
          <cell r="AB102">
            <v>920570.36313822912</v>
          </cell>
          <cell r="AC102">
            <v>298270.22075170913</v>
          </cell>
          <cell r="AD102">
            <v>427068.72516721988</v>
          </cell>
          <cell r="AE102">
            <v>725338.94591892906</v>
          </cell>
          <cell r="AF102">
            <v>59654.044150341826</v>
          </cell>
          <cell r="AG102">
            <v>135577.3730689587</v>
          </cell>
          <cell r="AH102">
            <v>195231.41721930052</v>
          </cell>
          <cell r="AI102">
            <v>920570.36313822959</v>
          </cell>
          <cell r="AJ102"/>
          <cell r="AK102">
            <v>2052237.0298048963</v>
          </cell>
          <cell r="AL102" t="str">
            <v>A</v>
          </cell>
          <cell r="AM102"/>
          <cell r="AN102">
            <v>135010.94801223243</v>
          </cell>
        </row>
        <row r="103">
          <cell r="A103">
            <v>9257024</v>
          </cell>
          <cell r="B103" t="str">
            <v>Spilsby The Eresby</v>
          </cell>
          <cell r="C103"/>
          <cell r="D103">
            <v>437998.72348484845</v>
          </cell>
          <cell r="E103">
            <v>657449.63030303048</v>
          </cell>
          <cell r="F103">
            <v>1095448.353787879</v>
          </cell>
          <cell r="G103">
            <v>65022.490909090891</v>
          </cell>
          <cell r="H103">
            <v>86696.654545454541</v>
          </cell>
          <cell r="I103">
            <v>151719.14545454545</v>
          </cell>
          <cell r="J103">
            <v>1247167.4992424245</v>
          </cell>
          <cell r="K103">
            <v>0</v>
          </cell>
          <cell r="L103">
            <v>0</v>
          </cell>
          <cell r="M103">
            <v>0</v>
          </cell>
          <cell r="N103">
            <v>0</v>
          </cell>
          <cell r="O103">
            <v>0</v>
          </cell>
          <cell r="P103">
            <v>0</v>
          </cell>
          <cell r="Q103">
            <v>0</v>
          </cell>
          <cell r="R103">
            <v>1247167.4992424245</v>
          </cell>
          <cell r="S103">
            <v>115.08333333333334</v>
          </cell>
          <cell r="T103">
            <v>10837.081818181819</v>
          </cell>
          <cell r="U103"/>
          <cell r="V103">
            <v>1010833.3333333335</v>
          </cell>
          <cell r="W103">
            <v>140000</v>
          </cell>
          <cell r="X103">
            <v>1150833.3333333335</v>
          </cell>
          <cell r="Y103">
            <v>1888052.7396854316</v>
          </cell>
          <cell r="Z103"/>
          <cell r="AA103"/>
          <cell r="AB103">
            <v>737219.4063520981</v>
          </cell>
          <cell r="AC103">
            <v>258907.61193393747</v>
          </cell>
          <cell r="AD103">
            <v>388628.33296475565</v>
          </cell>
          <cell r="AE103">
            <v>647535.94489869312</v>
          </cell>
          <cell r="AF103">
            <v>38435.76919431649</v>
          </cell>
          <cell r="AG103">
            <v>51247.692259088653</v>
          </cell>
          <cell r="AH103">
            <v>89683.461453405151</v>
          </cell>
          <cell r="AI103">
            <v>737219.40635209833</v>
          </cell>
          <cell r="AJ103"/>
          <cell r="AK103">
            <v>1888052.7396854318</v>
          </cell>
          <cell r="AL103" t="str">
            <v>A</v>
          </cell>
          <cell r="AM103"/>
          <cell r="AN103">
            <v>136049.42424242428</v>
          </cell>
        </row>
        <row r="104">
          <cell r="A104">
            <v>9257031</v>
          </cell>
          <cell r="B104" t="str">
            <v>Lincoln Fortuna</v>
          </cell>
          <cell r="C104"/>
          <cell r="D104">
            <v>556030.7536764706</v>
          </cell>
          <cell r="E104">
            <v>778443.05514705891</v>
          </cell>
          <cell r="F104">
            <v>1334473.8088235296</v>
          </cell>
          <cell r="G104">
            <v>0</v>
          </cell>
          <cell r="H104">
            <v>0</v>
          </cell>
          <cell r="I104">
            <v>0</v>
          </cell>
          <cell r="J104">
            <v>1334473.8088235296</v>
          </cell>
          <cell r="K104">
            <v>0</v>
          </cell>
          <cell r="L104">
            <v>0</v>
          </cell>
          <cell r="M104">
            <v>0</v>
          </cell>
          <cell r="N104">
            <v>0</v>
          </cell>
          <cell r="O104">
            <v>0</v>
          </cell>
          <cell r="P104">
            <v>0</v>
          </cell>
          <cell r="Q104">
            <v>0</v>
          </cell>
          <cell r="R104">
            <v>1334473.8088235296</v>
          </cell>
          <cell r="S104">
            <v>81</v>
          </cell>
          <cell r="T104">
            <v>16474.98529411765</v>
          </cell>
          <cell r="U104"/>
          <cell r="V104">
            <v>810000</v>
          </cell>
          <cell r="W104">
            <v>0</v>
          </cell>
          <cell r="X104">
            <v>810000</v>
          </cell>
          <cell r="Y104">
            <v>1896838.8088235296</v>
          </cell>
          <cell r="Z104"/>
          <cell r="AA104"/>
          <cell r="AB104">
            <v>1086838.8088235296</v>
          </cell>
          <cell r="AC104">
            <v>452849.50367647072</v>
          </cell>
          <cell r="AD104">
            <v>633989.30514705891</v>
          </cell>
          <cell r="AE104">
            <v>1086838.8088235296</v>
          </cell>
          <cell r="AF104">
            <v>0</v>
          </cell>
          <cell r="AG104">
            <v>0</v>
          </cell>
          <cell r="AH104">
            <v>0</v>
          </cell>
          <cell r="AI104">
            <v>1086838.8088235296</v>
          </cell>
          <cell r="AJ104"/>
          <cell r="AK104">
            <v>1896838.8088235296</v>
          </cell>
          <cell r="AL104" t="str">
            <v>A</v>
          </cell>
          <cell r="AM104"/>
          <cell r="AN104">
            <v>92940.352941176476</v>
          </cell>
        </row>
        <row r="105">
          <cell r="A105">
            <v>9257033</v>
          </cell>
          <cell r="B105" t="str">
            <v xml:space="preserve">Gainsborough Warren Wood </v>
          </cell>
          <cell r="C105"/>
          <cell r="D105">
            <v>639149.24095607235</v>
          </cell>
          <cell r="E105">
            <v>894808.93733850133</v>
          </cell>
          <cell r="F105">
            <v>1533958.1782945737</v>
          </cell>
          <cell r="G105">
            <v>0</v>
          </cell>
          <cell r="H105">
            <v>0</v>
          </cell>
          <cell r="I105">
            <v>0</v>
          </cell>
          <cell r="J105">
            <v>1533958.1782945737</v>
          </cell>
          <cell r="K105">
            <v>0</v>
          </cell>
          <cell r="L105">
            <v>0</v>
          </cell>
          <cell r="M105">
            <v>0</v>
          </cell>
          <cell r="N105">
            <v>0</v>
          </cell>
          <cell r="O105">
            <v>0</v>
          </cell>
          <cell r="P105">
            <v>0</v>
          </cell>
          <cell r="Q105">
            <v>0</v>
          </cell>
          <cell r="R105">
            <v>1533958.1782945737</v>
          </cell>
          <cell r="S105">
            <v>127.00000000000001</v>
          </cell>
          <cell r="T105">
            <v>12078.410852713178</v>
          </cell>
          <cell r="U105"/>
          <cell r="V105">
            <v>1270000</v>
          </cell>
          <cell r="W105">
            <v>0</v>
          </cell>
          <cell r="X105">
            <v>1270000</v>
          </cell>
          <cell r="Y105">
            <v>2229459.1782945739</v>
          </cell>
          <cell r="Z105"/>
          <cell r="AA105"/>
          <cell r="AB105">
            <v>959459.17829457391</v>
          </cell>
          <cell r="AC105">
            <v>399774.65762273903</v>
          </cell>
          <cell r="AD105">
            <v>559684.52067183459</v>
          </cell>
          <cell r="AE105">
            <v>959459.17829457368</v>
          </cell>
          <cell r="AF105">
            <v>0</v>
          </cell>
          <cell r="AG105">
            <v>0</v>
          </cell>
          <cell r="AH105">
            <v>0</v>
          </cell>
          <cell r="AI105">
            <v>959459.17829457368</v>
          </cell>
          <cell r="AJ105"/>
          <cell r="AK105">
            <v>2229459.1782945739</v>
          </cell>
          <cell r="AL105" t="str">
            <v>A</v>
          </cell>
          <cell r="AM105"/>
          <cell r="AN105">
            <v>179233.42635658913</v>
          </cell>
        </row>
        <row r="106">
          <cell r="A106">
            <v>9257008</v>
          </cell>
          <cell r="B106" t="str">
            <v>Gosberton House</v>
          </cell>
          <cell r="C106"/>
          <cell r="D106">
            <v>519741.00260416669</v>
          </cell>
          <cell r="E106">
            <v>727637.40364583337</v>
          </cell>
          <cell r="F106">
            <v>1247378.40625</v>
          </cell>
          <cell r="G106">
            <v>0</v>
          </cell>
          <cell r="H106">
            <v>0</v>
          </cell>
          <cell r="I106">
            <v>0</v>
          </cell>
          <cell r="J106">
            <v>1247378.40625</v>
          </cell>
          <cell r="K106">
            <v>0</v>
          </cell>
          <cell r="L106">
            <v>0</v>
          </cell>
          <cell r="M106">
            <v>0</v>
          </cell>
          <cell r="N106">
            <v>0</v>
          </cell>
          <cell r="O106">
            <v>0</v>
          </cell>
          <cell r="P106">
            <v>0</v>
          </cell>
          <cell r="Q106">
            <v>0</v>
          </cell>
          <cell r="R106">
            <v>1247378.40625</v>
          </cell>
          <cell r="S106">
            <v>101</v>
          </cell>
          <cell r="T106">
            <v>12350.28125</v>
          </cell>
          <cell r="U106"/>
          <cell r="V106">
            <v>1010000.0000000001</v>
          </cell>
          <cell r="W106">
            <v>0</v>
          </cell>
          <cell r="X106">
            <v>1010000.0000000001</v>
          </cell>
          <cell r="Y106">
            <v>1875403.40625</v>
          </cell>
          <cell r="Z106"/>
          <cell r="AA106"/>
          <cell r="AB106">
            <v>865403.40624999988</v>
          </cell>
          <cell r="AC106">
            <v>360584.75260416674</v>
          </cell>
          <cell r="AD106">
            <v>504818.65364583343</v>
          </cell>
          <cell r="AE106">
            <v>865403.40625000023</v>
          </cell>
          <cell r="AF106">
            <v>0</v>
          </cell>
          <cell r="AG106">
            <v>0</v>
          </cell>
          <cell r="AH106">
            <v>0</v>
          </cell>
          <cell r="AI106">
            <v>865403.40625000023</v>
          </cell>
          <cell r="AJ106"/>
          <cell r="AK106">
            <v>1875403.4062500005</v>
          </cell>
          <cell r="AL106" t="str">
            <v>A</v>
          </cell>
          <cell r="AM106"/>
          <cell r="AN106">
            <v>27362.583333333332</v>
          </cell>
        </row>
        <row r="107">
          <cell r="A107">
            <v>9257034</v>
          </cell>
          <cell r="B107" t="str">
            <v>Gainsborough Aegir</v>
          </cell>
          <cell r="C107"/>
          <cell r="D107">
            <v>627265.60919540224</v>
          </cell>
          <cell r="E107">
            <v>878171.85287356318</v>
          </cell>
          <cell r="F107">
            <v>1505437.4620689654</v>
          </cell>
          <cell r="G107">
            <v>107004.13333333333</v>
          </cell>
          <cell r="H107">
            <v>214008.26666666666</v>
          </cell>
          <cell r="I107">
            <v>321012.40000000002</v>
          </cell>
          <cell r="J107">
            <v>1826449.8620689656</v>
          </cell>
          <cell r="K107">
            <v>0</v>
          </cell>
          <cell r="L107">
            <v>0</v>
          </cell>
          <cell r="M107">
            <v>0</v>
          </cell>
          <cell r="N107">
            <v>0</v>
          </cell>
          <cell r="O107">
            <v>0</v>
          </cell>
          <cell r="P107">
            <v>0</v>
          </cell>
          <cell r="Q107">
            <v>0</v>
          </cell>
          <cell r="R107">
            <v>1826449.8620689656</v>
          </cell>
          <cell r="S107">
            <v>165</v>
          </cell>
          <cell r="T107">
            <v>11069.393103448276</v>
          </cell>
          <cell r="U107"/>
          <cell r="V107">
            <v>1360000</v>
          </cell>
          <cell r="W107">
            <v>290000</v>
          </cell>
          <cell r="X107">
            <v>1650000</v>
          </cell>
          <cell r="Y107">
            <v>2602563.2414386137</v>
          </cell>
          <cell r="Z107"/>
          <cell r="AA107"/>
          <cell r="AB107">
            <v>952563.24143861374</v>
          </cell>
          <cell r="AC107">
            <v>327142.93140316021</v>
          </cell>
          <cell r="AD107">
            <v>458000.10396442434</v>
          </cell>
          <cell r="AE107">
            <v>785143.03536758455</v>
          </cell>
          <cell r="AF107">
            <v>55806.735357009689</v>
          </cell>
          <cell r="AG107">
            <v>111613.47071401938</v>
          </cell>
          <cell r="AH107">
            <v>167420.20607102907</v>
          </cell>
          <cell r="AI107">
            <v>952563.24143861362</v>
          </cell>
          <cell r="AJ107"/>
          <cell r="AK107">
            <v>2602563.2414386137</v>
          </cell>
          <cell r="AL107" t="str">
            <v>A</v>
          </cell>
          <cell r="AM107"/>
          <cell r="AN107">
            <v>59190.620689655167</v>
          </cell>
        </row>
        <row r="108">
          <cell r="A108">
            <v>9257009</v>
          </cell>
          <cell r="B108" t="str">
            <v>The Tulip Academy</v>
          </cell>
          <cell r="C108"/>
          <cell r="D108">
            <v>1135811.7171717172</v>
          </cell>
          <cell r="E108">
            <v>1590136.4040404041</v>
          </cell>
          <cell r="F108">
            <v>2725948.1212121211</v>
          </cell>
          <cell r="G108">
            <v>64903.526695526685</v>
          </cell>
          <cell r="H108">
            <v>129807.05339105337</v>
          </cell>
          <cell r="I108">
            <v>194710.58008658007</v>
          </cell>
          <cell r="J108">
            <v>2920658.7012987011</v>
          </cell>
          <cell r="K108">
            <v>0</v>
          </cell>
          <cell r="L108">
            <v>0</v>
          </cell>
          <cell r="M108">
            <v>0</v>
          </cell>
          <cell r="N108">
            <v>0</v>
          </cell>
          <cell r="O108">
            <v>0</v>
          </cell>
          <cell r="P108">
            <v>0</v>
          </cell>
          <cell r="Q108">
            <v>0</v>
          </cell>
          <cell r="R108">
            <v>2920658.7012987011</v>
          </cell>
          <cell r="S108">
            <v>240.00000000000003</v>
          </cell>
          <cell r="T108">
            <v>12169.411255411253</v>
          </cell>
          <cell r="U108"/>
          <cell r="V108">
            <v>2240000</v>
          </cell>
          <cell r="W108">
            <v>160000</v>
          </cell>
          <cell r="X108">
            <v>2400000</v>
          </cell>
          <cell r="Y108">
            <v>3898128.75605362</v>
          </cell>
          <cell r="Z108"/>
          <cell r="AA108"/>
          <cell r="AB108">
            <v>1498128.75605362</v>
          </cell>
          <cell r="AC108">
            <v>582605.62735418545</v>
          </cell>
          <cell r="AD108">
            <v>815647.87829585944</v>
          </cell>
          <cell r="AE108">
            <v>1398253.5056500449</v>
          </cell>
          <cell r="AF108">
            <v>33291.750134524882</v>
          </cell>
          <cell r="AG108">
            <v>66583.500269049764</v>
          </cell>
          <cell r="AH108">
            <v>99875.250403574639</v>
          </cell>
          <cell r="AI108">
            <v>1498128.7560536196</v>
          </cell>
          <cell r="AJ108"/>
          <cell r="AK108">
            <v>3898128.7560536196</v>
          </cell>
          <cell r="AL108" t="str">
            <v>A</v>
          </cell>
          <cell r="AM108"/>
          <cell r="AN108">
            <v>459362.07792207785</v>
          </cell>
        </row>
        <row r="109">
          <cell r="A109">
            <v>9257029</v>
          </cell>
          <cell r="B109" t="str">
            <v>Greenfields Academy</v>
          </cell>
          <cell r="C109"/>
          <cell r="D109">
            <v>547862.5</v>
          </cell>
          <cell r="E109">
            <v>767007.5</v>
          </cell>
          <cell r="F109">
            <v>1314870</v>
          </cell>
          <cell r="G109">
            <v>0</v>
          </cell>
          <cell r="H109">
            <v>0</v>
          </cell>
          <cell r="I109">
            <v>0</v>
          </cell>
          <cell r="J109">
            <v>1314870</v>
          </cell>
          <cell r="K109">
            <v>0</v>
          </cell>
          <cell r="L109">
            <v>0</v>
          </cell>
          <cell r="M109">
            <v>0</v>
          </cell>
          <cell r="N109">
            <v>0</v>
          </cell>
          <cell r="O109">
            <v>0</v>
          </cell>
          <cell r="P109">
            <v>0</v>
          </cell>
          <cell r="Q109">
            <v>0</v>
          </cell>
          <cell r="R109">
            <v>1314870</v>
          </cell>
          <cell r="S109">
            <v>82</v>
          </cell>
          <cell r="T109">
            <v>16035</v>
          </cell>
          <cell r="U109"/>
          <cell r="V109">
            <v>820000</v>
          </cell>
          <cell r="W109">
            <v>0</v>
          </cell>
          <cell r="X109">
            <v>820000</v>
          </cell>
          <cell r="Y109">
            <v>1875215</v>
          </cell>
          <cell r="Z109"/>
          <cell r="AA109"/>
          <cell r="AB109">
            <v>1055215</v>
          </cell>
          <cell r="AC109">
            <v>439672.91666666663</v>
          </cell>
          <cell r="AD109">
            <v>615542.08333333326</v>
          </cell>
          <cell r="AE109">
            <v>1055215</v>
          </cell>
          <cell r="AF109">
            <v>0</v>
          </cell>
          <cell r="AG109">
            <v>0</v>
          </cell>
          <cell r="AH109">
            <v>0</v>
          </cell>
          <cell r="AI109">
            <v>1055215</v>
          </cell>
          <cell r="AJ109"/>
          <cell r="AK109">
            <v>1875215</v>
          </cell>
          <cell r="AL109" t="str">
            <v>A</v>
          </cell>
          <cell r="AM109"/>
          <cell r="AN109">
            <v>0</v>
          </cell>
        </row>
        <row r="110">
          <cell r="A110">
            <v>9257032</v>
          </cell>
          <cell r="B110" t="str">
            <v>Lincoln Athena School</v>
          </cell>
          <cell r="C110"/>
          <cell r="D110">
            <v>781706.25</v>
          </cell>
          <cell r="E110">
            <v>1094388.75</v>
          </cell>
          <cell r="F110">
            <v>1876095</v>
          </cell>
          <cell r="G110">
            <v>0</v>
          </cell>
          <cell r="H110">
            <v>0</v>
          </cell>
          <cell r="I110">
            <v>0</v>
          </cell>
          <cell r="J110">
            <v>1876095</v>
          </cell>
          <cell r="K110">
            <v>0</v>
          </cell>
          <cell r="L110">
            <v>0</v>
          </cell>
          <cell r="M110">
            <v>0</v>
          </cell>
          <cell r="N110">
            <v>0</v>
          </cell>
          <cell r="O110">
            <v>0</v>
          </cell>
          <cell r="P110">
            <v>0</v>
          </cell>
          <cell r="Q110">
            <v>0</v>
          </cell>
          <cell r="R110">
            <v>1876095</v>
          </cell>
          <cell r="S110">
            <v>117</v>
          </cell>
          <cell r="T110">
            <v>16035</v>
          </cell>
          <cell r="U110"/>
          <cell r="V110">
            <v>1170000</v>
          </cell>
          <cell r="W110">
            <v>0</v>
          </cell>
          <cell r="X110">
            <v>1170000</v>
          </cell>
          <cell r="Y110">
            <v>2414517</v>
          </cell>
          <cell r="Z110"/>
          <cell r="AA110"/>
          <cell r="AB110">
            <v>1244517</v>
          </cell>
          <cell r="AC110">
            <v>518548.75000000006</v>
          </cell>
          <cell r="AD110">
            <v>725968.25000000012</v>
          </cell>
          <cell r="AE110">
            <v>1244517.0000000002</v>
          </cell>
          <cell r="AF110">
            <v>0</v>
          </cell>
          <cell r="AG110">
            <v>0</v>
          </cell>
          <cell r="AH110">
            <v>0</v>
          </cell>
          <cell r="AI110">
            <v>1244517.0000000002</v>
          </cell>
          <cell r="AJ110"/>
          <cell r="AK110">
            <v>2414517</v>
          </cell>
          <cell r="AL110" t="str">
            <v>A</v>
          </cell>
          <cell r="AM110"/>
          <cell r="AN110">
            <v>0</v>
          </cell>
        </row>
        <row r="111">
          <cell r="A111">
            <v>9257030</v>
          </cell>
          <cell r="B111" t="str">
            <v>Spilsby The Woodlands</v>
          </cell>
          <cell r="C111"/>
          <cell r="D111">
            <v>580828.58231707325</v>
          </cell>
          <cell r="E111">
            <v>813160.01524390257</v>
          </cell>
          <cell r="F111">
            <v>1393988.5975609757</v>
          </cell>
          <cell r="G111">
            <v>0</v>
          </cell>
          <cell r="H111">
            <v>0</v>
          </cell>
          <cell r="I111">
            <v>0</v>
          </cell>
          <cell r="J111">
            <v>1393988.5975609757</v>
          </cell>
          <cell r="K111">
            <v>0</v>
          </cell>
          <cell r="L111">
            <v>0</v>
          </cell>
          <cell r="M111">
            <v>0</v>
          </cell>
          <cell r="N111">
            <v>0</v>
          </cell>
          <cell r="O111">
            <v>0</v>
          </cell>
          <cell r="P111">
            <v>0</v>
          </cell>
          <cell r="Q111">
            <v>0</v>
          </cell>
          <cell r="R111">
            <v>1393988.5975609757</v>
          </cell>
          <cell r="S111">
            <v>85</v>
          </cell>
          <cell r="T111">
            <v>16399.865853658539</v>
          </cell>
          <cell r="U111"/>
          <cell r="V111">
            <v>850000</v>
          </cell>
          <cell r="W111">
            <v>0</v>
          </cell>
          <cell r="X111">
            <v>850000</v>
          </cell>
          <cell r="Y111">
            <v>1958878.5975609757</v>
          </cell>
          <cell r="Z111"/>
          <cell r="AA111"/>
          <cell r="AB111">
            <v>1108878.5975609757</v>
          </cell>
          <cell r="AC111">
            <v>462032.74898373993</v>
          </cell>
          <cell r="AD111">
            <v>646845.84857723594</v>
          </cell>
          <cell r="AE111">
            <v>1108878.5975609759</v>
          </cell>
          <cell r="AF111">
            <v>0</v>
          </cell>
          <cell r="AG111">
            <v>0</v>
          </cell>
          <cell r="AH111">
            <v>0</v>
          </cell>
          <cell r="AI111">
            <v>1108878.5975609759</v>
          </cell>
          <cell r="AJ111"/>
          <cell r="AK111">
            <v>1958878.5975609759</v>
          </cell>
          <cell r="AL111" t="str">
            <v>A</v>
          </cell>
          <cell r="AM111"/>
          <cell r="AN111">
            <v>80878.53658536583</v>
          </cell>
        </row>
        <row r="112">
          <cell r="A112">
            <v>9257028</v>
          </cell>
          <cell r="B112" t="str">
            <v>Bourne Willoughby</v>
          </cell>
          <cell r="C112"/>
          <cell r="D112">
            <v>853421.04477611941</v>
          </cell>
          <cell r="E112">
            <v>1194789.4626865671</v>
          </cell>
          <cell r="F112">
            <v>2048210.5074626864</v>
          </cell>
          <cell r="G112">
            <v>112893.49253731343</v>
          </cell>
          <cell r="H112">
            <v>225786.98507462686</v>
          </cell>
          <cell r="I112">
            <v>338680.4776119403</v>
          </cell>
          <cell r="J112">
            <v>2386890.9850746267</v>
          </cell>
          <cell r="K112">
            <v>0</v>
          </cell>
          <cell r="L112">
            <v>0</v>
          </cell>
          <cell r="M112">
            <v>0</v>
          </cell>
          <cell r="N112">
            <v>0</v>
          </cell>
          <cell r="O112">
            <v>0</v>
          </cell>
          <cell r="P112">
            <v>0</v>
          </cell>
          <cell r="Q112">
            <v>0</v>
          </cell>
          <cell r="R112">
            <v>2386890.9850746267</v>
          </cell>
          <cell r="S112">
            <v>148</v>
          </cell>
          <cell r="T112">
            <v>16127.641791044774</v>
          </cell>
          <cell r="U112"/>
          <cell r="V112">
            <v>1270000</v>
          </cell>
          <cell r="W112">
            <v>210000</v>
          </cell>
          <cell r="X112">
            <v>1480000</v>
          </cell>
          <cell r="Y112">
            <v>3249002.9850746267</v>
          </cell>
          <cell r="Z112"/>
          <cell r="AA112"/>
          <cell r="AB112">
            <v>1769002.9850746267</v>
          </cell>
          <cell r="AC112">
            <v>632498.25198332674</v>
          </cell>
          <cell r="AD112">
            <v>885497.55277665728</v>
          </cell>
          <cell r="AE112">
            <v>1517995.8047599839</v>
          </cell>
          <cell r="AF112">
            <v>83669.060104881006</v>
          </cell>
          <cell r="AG112">
            <v>167338.12020976201</v>
          </cell>
          <cell r="AH112">
            <v>251007.18031464302</v>
          </cell>
          <cell r="AI112">
            <v>1769002.985074627</v>
          </cell>
          <cell r="AJ112"/>
          <cell r="AK112">
            <v>3249002.9850746267</v>
          </cell>
          <cell r="AL112" t="str">
            <v>A</v>
          </cell>
          <cell r="AM112"/>
          <cell r="AN112">
            <v>746856.59701492544</v>
          </cell>
        </row>
        <row r="113">
          <cell r="A113">
            <v>9257021</v>
          </cell>
          <cell r="B113" t="str">
            <v>Horncastle St Lawrence</v>
          </cell>
          <cell r="C113"/>
          <cell r="D113">
            <v>787630.50847457617</v>
          </cell>
          <cell r="E113">
            <v>1102682.7118644067</v>
          </cell>
          <cell r="F113">
            <v>1890313.220338983</v>
          </cell>
          <cell r="G113">
            <v>0</v>
          </cell>
          <cell r="H113">
            <v>0</v>
          </cell>
          <cell r="I113">
            <v>0</v>
          </cell>
          <cell r="J113">
            <v>1890313.220338983</v>
          </cell>
          <cell r="K113">
            <v>0</v>
          </cell>
          <cell r="L113">
            <v>0</v>
          </cell>
          <cell r="M113">
            <v>0</v>
          </cell>
          <cell r="N113">
            <v>0</v>
          </cell>
          <cell r="O113">
            <v>0</v>
          </cell>
          <cell r="P113">
            <v>0</v>
          </cell>
          <cell r="Q113">
            <v>0</v>
          </cell>
          <cell r="R113">
            <v>1890313.220338983</v>
          </cell>
          <cell r="S113">
            <v>180</v>
          </cell>
          <cell r="T113">
            <v>10501.74011299435</v>
          </cell>
          <cell r="U113"/>
          <cell r="V113">
            <v>1800000</v>
          </cell>
          <cell r="W113">
            <v>0</v>
          </cell>
          <cell r="X113">
            <v>1800000</v>
          </cell>
          <cell r="Y113">
            <v>2724542.220338983</v>
          </cell>
          <cell r="Z113"/>
          <cell r="AA113"/>
          <cell r="AB113">
            <v>924542.220338983</v>
          </cell>
          <cell r="AC113">
            <v>385225.92514124291</v>
          </cell>
          <cell r="AD113">
            <v>539316.29519774008</v>
          </cell>
          <cell r="AE113">
            <v>924542.220338983</v>
          </cell>
          <cell r="AF113">
            <v>0</v>
          </cell>
          <cell r="AG113">
            <v>0</v>
          </cell>
          <cell r="AH113">
            <v>0</v>
          </cell>
          <cell r="AI113">
            <v>924542.220338983</v>
          </cell>
          <cell r="AJ113"/>
          <cell r="AK113">
            <v>2724542.220338983</v>
          </cell>
          <cell r="AL113" t="str">
            <v>A</v>
          </cell>
          <cell r="AM113"/>
          <cell r="AN113">
            <v>105795.25423728811</v>
          </cell>
        </row>
        <row r="114">
          <cell r="A114">
            <v>9257015</v>
          </cell>
          <cell r="B114" t="str">
            <v>Lincoln St Christopher's</v>
          </cell>
          <cell r="C114"/>
          <cell r="D114">
            <v>1696404.68359375</v>
          </cell>
          <cell r="E114">
            <v>2374966.5570312501</v>
          </cell>
          <cell r="F114">
            <v>4071371.2406250001</v>
          </cell>
          <cell r="G114">
            <v>188355.25312499999</v>
          </cell>
          <cell r="H114">
            <v>376710.50624999998</v>
          </cell>
          <cell r="I114">
            <v>565065.75937499991</v>
          </cell>
          <cell r="J114">
            <v>4636437</v>
          </cell>
          <cell r="K114">
            <v>0</v>
          </cell>
          <cell r="L114">
            <v>0</v>
          </cell>
          <cell r="M114">
            <v>0</v>
          </cell>
          <cell r="N114">
            <v>0</v>
          </cell>
          <cell r="O114">
            <v>0</v>
          </cell>
          <cell r="P114">
            <v>0</v>
          </cell>
          <cell r="Q114">
            <v>0</v>
          </cell>
          <cell r="R114">
            <v>4636437</v>
          </cell>
          <cell r="S114">
            <v>320</v>
          </cell>
          <cell r="T114">
            <v>14488.865625</v>
          </cell>
          <cell r="U114"/>
          <cell r="V114">
            <v>2810000</v>
          </cell>
          <cell r="W114">
            <v>390000</v>
          </cell>
          <cell r="X114">
            <v>3200000</v>
          </cell>
          <cell r="Y114">
            <v>5822471.1085250005</v>
          </cell>
          <cell r="Z114"/>
          <cell r="AA114"/>
          <cell r="AB114">
            <v>2622471.1085250005</v>
          </cell>
          <cell r="AC114">
            <v>959523.93423896504</v>
          </cell>
          <cell r="AD114">
            <v>1343333.5079345512</v>
          </cell>
          <cell r="AE114">
            <v>2302857.4421735164</v>
          </cell>
          <cell r="AF114">
            <v>106537.88878382815</v>
          </cell>
          <cell r="AG114">
            <v>213075.7775676563</v>
          </cell>
          <cell r="AH114">
            <v>319613.66635148448</v>
          </cell>
          <cell r="AI114">
            <v>2622471.108525001</v>
          </cell>
          <cell r="AJ114"/>
          <cell r="AK114">
            <v>5822471.1085250005</v>
          </cell>
          <cell r="AL114" t="str">
            <v>A</v>
          </cell>
          <cell r="AM114"/>
          <cell r="AN114">
            <v>520160</v>
          </cell>
        </row>
        <row r="115">
          <cell r="A115">
            <v>9257016</v>
          </cell>
          <cell r="B115" t="str">
            <v xml:space="preserve">Lincoln St Francis </v>
          </cell>
          <cell r="C115"/>
          <cell r="D115">
            <v>1126255.9064327483</v>
          </cell>
          <cell r="E115">
            <v>1576758.2690058476</v>
          </cell>
          <cell r="F115">
            <v>2703014.1754385959</v>
          </cell>
          <cell r="G115">
            <v>300334.90838206623</v>
          </cell>
          <cell r="H115">
            <v>600669.81676413247</v>
          </cell>
          <cell r="I115">
            <v>901004.72514619865</v>
          </cell>
          <cell r="J115">
            <v>3604018.9005847946</v>
          </cell>
          <cell r="K115">
            <v>0</v>
          </cell>
          <cell r="L115">
            <v>0</v>
          </cell>
          <cell r="M115">
            <v>0</v>
          </cell>
          <cell r="N115">
            <v>0</v>
          </cell>
          <cell r="O115">
            <v>0</v>
          </cell>
          <cell r="P115">
            <v>0</v>
          </cell>
          <cell r="Q115">
            <v>0</v>
          </cell>
          <cell r="R115">
            <v>3604018.9005847946</v>
          </cell>
          <cell r="S115">
            <v>176</v>
          </cell>
          <cell r="T115">
            <v>20477.380116959059</v>
          </cell>
          <cell r="U115"/>
          <cell r="V115">
            <v>1320000</v>
          </cell>
          <cell r="W115">
            <v>440000</v>
          </cell>
          <cell r="X115">
            <v>1760000</v>
          </cell>
          <cell r="Y115">
            <v>4653690.9005847946</v>
          </cell>
          <cell r="Z115"/>
          <cell r="AA115"/>
          <cell r="AB115">
            <v>2893690.9005847946</v>
          </cell>
          <cell r="AC115">
            <v>904278.40643274831</v>
          </cell>
          <cell r="AD115">
            <v>1265989.7690058476</v>
          </cell>
          <cell r="AE115">
            <v>2170268.1754385959</v>
          </cell>
          <cell r="AF115">
            <v>241140.90838206621</v>
          </cell>
          <cell r="AG115">
            <v>482281.81676413241</v>
          </cell>
          <cell r="AH115">
            <v>723422.72514619865</v>
          </cell>
          <cell r="AI115">
            <v>2893690.9005847946</v>
          </cell>
          <cell r="AJ115"/>
          <cell r="AK115">
            <v>4653690.9005847946</v>
          </cell>
          <cell r="AL115" t="str">
            <v>A</v>
          </cell>
          <cell r="AM115"/>
          <cell r="AN115">
            <v>2061172.0233918126</v>
          </cell>
        </row>
      </sheetData>
      <sheetData sheetId="54"/>
      <sheetData sheetId="55"/>
      <sheetData sheetId="56"/>
      <sheetData sheetId="57"/>
      <sheetData sheetId="58"/>
      <sheetData sheetId="59"/>
      <sheetData sheetId="6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person displayName="David Leonard" id="{6AEDB1E5-BD20-4AB2-AE08-5FE142956C7E}" userId="S::David.Leonard@lincolnshire.gov.uk::a21b0ccd-3aee-4046-bc74-d38e7a34107c" providerId="AD"/>
  <person displayName="Mark Popplewell" id="{40AF193A-77A4-48DC-9590-8163659294C1}" userId="S::Mark.Popplewell@lincolnshire.gov.uk::51bd506b-557c-40c9-8763-8db91163076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A9D28A-433F-4155-A142-2C98D1C74AFA}" name="Table35" displayName="Table35" ref="A2:BS203" totalsRowCount="1" headerRowDxfId="145" totalsRowDxfId="144" totalsRowBorderDxfId="143">
  <autoFilter ref="A2:BS202" xr:uid="{6CE96345-0061-4E15-9683-1D66FB174359}"/>
  <tableColumns count="71">
    <tableColumn id="1" xr3:uid="{2E22B2D0-1FD5-48BD-BAEF-014DBC7C07D9}" name="LA" totalsRowDxfId="142" totalsRowCellStyle="Normal 6"/>
    <tableColumn id="2" xr3:uid="{E04C660D-3CEF-40DE-B9D6-945C69AB141F}" name="LA Name" totalsRowDxfId="141" totalsRowCellStyle="Normal 6"/>
    <tableColumn id="3" xr3:uid="{5A32C38A-9DCF-4854-B6F9-6E83274BD63B}" name="School Name" dataDxfId="140" totalsRowDxfId="139" totalsRowCellStyle="Normal 6"/>
    <tableColumn id="4" xr3:uid="{52CEEFA1-4740-4492-9D9F-D4A6ADD9EF73}" name="Trust or Company Name" dataDxfId="138" totalsRowDxfId="137" totalsRowCellStyle="Normal 6"/>
    <tableColumn id="6" xr3:uid="{A5A3AE37-AA52-4F81-A2CA-C70B24C07721}" name="Number of pupils (FTE)" totalsRowFunction="average" totalsRowDxfId="136" totalsRowCellStyle="Normal 6"/>
    <tableColumn id="7" xr3:uid="{FF7B1CA5-44AB-4878-9B54-9E9EA1A9F17A}" name="Number of teachers in academy (FTE)" totalsRowFunction="average" totalsRowDxfId="135" totalsRowCellStyle="Normal 6"/>
    <tableColumn id="8" xr3:uid="{779FF9F0-A197-4248-B177-A446FB8C4DAE}" name="Overall Phase" totalsRowDxfId="134" totalsRowCellStyle="Normal 6"/>
    <tableColumn id="9" xr3:uid="{02A07E10-9F0F-4925-970D-D5C3B3FFDFBA}" name="% of pupils eligible for FSM" totalsRowFunction="average" totalsRowDxfId="133" totalsRowCellStyle="Normal 6"/>
    <tableColumn id="10" xr3:uid="{BABFA5F6-3016-4CB1-AF8B-7B67D6CF908F}" name="% of pupils with EHCP" totalsRowFunction="average" totalsRowDxfId="132" totalsRowCellStyle="Normal 6"/>
    <tableColumn id="11" xr3:uid="{5305F792-49FD-4A93-B09E-D8795FD8B875}" name="% of pupil with SEN support" totalsRowFunction="average" totalsRowDxfId="131" totalsRowCellStyle="Normal 6"/>
    <tableColumn id="12" xr3:uid="{34F4B004-B5A2-4509-8777-F5589FFA8CFE}" name="No of pupils in 6th form" totalsRowFunction="average" totalsRowDxfId="130" totalsRowCellStyle="Normal 6"/>
    <tableColumn id="13" xr3:uid="{582ABDFD-7ECE-4EC2-9051-C16E032C4338}" name="Total Income" totalsRowFunction="average" dataDxfId="129" totalsRowDxfId="128" totalsRowCellStyle="Normal 6"/>
    <tableColumn id="14" xr3:uid="{8CA9A273-1D01-44BF-A274-DC5BF6407A39}" name="Total Expenditure" totalsRowFunction="average" dataDxfId="127" totalsRowDxfId="126" totalsRowCellStyle="Normal 6"/>
    <tableColumn id="15" xr3:uid="{A2D45580-28DC-41D7-9B2E-61153871672A}" name="In-year Balance" totalsRowFunction="average" dataDxfId="125" totalsRowDxfId="124" totalsRowCellStyle="Normal 6">
      <calculatedColumnFormula>Table35[[#This Row],[Total Income]]-Table35[[#This Row],[Total Expenditure]]</calculatedColumnFormula>
    </tableColumn>
    <tableColumn id="16" xr3:uid="{F8AC72F8-422B-492F-A80F-D5CC62B9BF61}" name="Revenue Reserve" totalsRowFunction="average" dataDxfId="123" totalsRowDxfId="122" totalsRowCellStyle="Normal 6"/>
    <tableColumn id="51" xr3:uid="{8E5F392E-C046-4884-A9BC-72A093C4E620}" name="Teaching staff" dataDxfId="121" totalsRowDxfId="120" totalsRowCellStyle="Normal 6"/>
    <tableColumn id="52" xr3:uid="{1F7819B7-5BA5-4DFC-AF4A-1EC74103B2F5}" name="Supply teaching" dataDxfId="119" totalsRowDxfId="118" totalsRowCellStyle="Normal 6"/>
    <tableColumn id="53" xr3:uid="{A16927E4-D5A1-4C1E-AAC2-ADEE0B1B4576}" name="Education support staff" dataDxfId="117" totalsRowDxfId="116" totalsRowCellStyle="Normal 6"/>
    <tableColumn id="54" xr3:uid="{6AB4751D-D3CA-4495-8376-154E7ACE77FF}" name="Administrative staff" dataDxfId="115" totalsRowDxfId="114" totalsRowCellStyle="Normal 6"/>
    <tableColumn id="55" xr3:uid="{7613A416-D881-4E43-95A7-E96A52049F1C}" name="Other staff" dataDxfId="113" totalsRowDxfId="112" totalsRowCellStyle="Normal 6"/>
    <tableColumn id="56" xr3:uid="{0CA72B41-A036-4791-B8CF-F9BC3F09CF32}" name="Employee expenses" dataDxfId="111" totalsRowDxfId="110" totalsRowCellStyle="Normal 6"/>
    <tableColumn id="57" xr3:uid="{100B3115-470C-4D03-96EE-CA7C2D3D9AB5}" name="Staff development/training" dataDxfId="109" totalsRowDxfId="108" totalsRowCellStyle="Normal 6"/>
    <tableColumn id="58" xr3:uid="{7F518733-0821-4EEC-B857-57D32A876D33}" name="Staff insurance" dataDxfId="107" totalsRowDxfId="106" totalsRowCellStyle="Normal 6"/>
    <tableColumn id="59" xr3:uid="{A5F27EA7-8A22-412C-9904-07908825C795}" name="Supply insurance" dataDxfId="105" totalsRowDxfId="104" totalsRowCellStyle="Normal 6"/>
    <tableColumn id="60" xr3:uid="{3A8DAD6C-0B86-46BC-8BBD-D1DC77E4E475}" name="Agency" dataDxfId="103" totalsRowDxfId="102" totalsRowCellStyle="Normal 6"/>
    <tableColumn id="19" xr3:uid="{E21FB462-8981-4E31-96F8-8EFC21729F15}" name="Total Staff Costs" totalsRowFunction="average" dataDxfId="101" totalsRowDxfId="100" totalsRowCellStyle="Normal 6"/>
    <tableColumn id="73" xr3:uid="{372173A2-0E18-4564-BFFE-DFF215CA6F44}" name="Total Non-Staff Costs" dataDxfId="99" totalsRowDxfId="98" totalsRowCellStyle="Normal 6">
      <calculatedColumnFormula>M3-Z3-Table35[[#This Row],[Maintenance &amp; Improvement]]-Table35[[#This Row],[Cleaning &amp; Caretaking]]-Table35[[#This Row],[Catering Supply]]</calculatedColumnFormula>
    </tableColumn>
    <tableColumn id="20" xr3:uid="{7C89F182-6F9C-4411-8440-1E95C4EA2329}" name="Maintenance &amp; Improvement Costs" totalsRowFunction="average" dataDxfId="97" totalsRowDxfId="96" totalsRowCellStyle="Normal 6"/>
    <tableColumn id="29" xr3:uid="{C3E2B605-7769-4A50-A20B-2F892D6EDEA2}" name="Maintenance &amp; Improvement" dataDxfId="95" totalsRowDxfId="94" totalsRowCellStyle="Normal 6"/>
    <tableColumn id="30" xr3:uid="{9B36CF84-D30E-430D-9456-5C2EC3D59EBB}" name="Cleaning &amp; Caretaking" dataDxfId="93" totalsRowDxfId="92" totalsRowCellStyle="Normal 6"/>
    <tableColumn id="31" xr3:uid="{A62429E8-7DC3-4F19-B3A9-46779F770626}" name="Premises Staff" dataDxfId="91" totalsRowDxfId="90" totalsRowCellStyle="Normal 6"/>
    <tableColumn id="32" xr3:uid="{48C4FFAB-3FEB-4E29-A7EF-62CE0B566D41}" name="Bought in Prof. Serv. PFI" dataDxfId="89" totalsRowDxfId="88" totalsRowCellStyle="Normal 6"/>
    <tableColumn id="39" xr3:uid="{6AB84602-3D15-449E-99DC-E4A12ECAABA1}" name="Premises Costs" totalsRowFunction="average" dataDxfId="87" totalsRowDxfId="86" totalsRowCellStyle="Normal 6"/>
    <tableColumn id="40" xr3:uid="{CE3A8630-14FF-4EC7-BC13-BF177D2B81DC}" name="Catering Costs" totalsRowFunction="average" dataDxfId="85" totalsRowDxfId="84" totalsRowCellStyle="Normal 6"/>
    <tableColumn id="21" xr3:uid="{AAD97164-1298-420F-B5D0-3D632ED157D4}" name="Catering Staffing" dataDxfId="83" totalsRowDxfId="82" totalsRowCellStyle="Normal 6"/>
    <tableColumn id="24" xr3:uid="{D1C1F83D-4E09-4CA5-A7B2-D7951BBB1116}" name="Catering Supply" dataDxfId="81" totalsRowDxfId="80" totalsRowCellStyle="Normal 6"/>
    <tableColumn id="22" xr3:uid="{543366E2-3501-47BC-BCFB-7146B7B1CD8E}" name="Water/Sewage" totalsRowFunction="average" dataDxfId="79" totalsRowDxfId="78" totalsRowCellStyle="Normal 6"/>
    <tableColumn id="38" xr3:uid="{2A9EE52A-B55C-48AB-B7EE-D455F7A01DA9}" name="Rent/Rates" totalsRowFunction="average" dataDxfId="77" totalsRowDxfId="76" totalsRowCellStyle="Normal 6"/>
    <tableColumn id="42" xr3:uid="{E7EF4F90-3A35-4BDD-8A00-CA69BB2EE7AF}" name="Energy" totalsRowFunction="stdDev" dataDxfId="75" totalsRowDxfId="74" totalsRowCellStyle="Normal 6"/>
    <tableColumn id="43" xr3:uid="{E21F287C-5F75-4A2D-8D80-63D1A4754B6F}" name="Other insurance premiums" dataDxfId="73" totalsRowDxfId="72" totalsRowCellStyle="Normal 6"/>
    <tableColumn id="44" xr3:uid="{D7C260F8-33DE-49EB-8EAD-5785771CA8C2}" name="Other Occupation Costs" dataDxfId="71" totalsRowDxfId="70" totalsRowCellStyle="Normal 6"/>
    <tableColumn id="23" xr3:uid="{E41C1014-A45C-4A2F-96D2-8302EEB3CFC4}" name="Occupation Costs" totalsRowFunction="average" dataDxfId="69" totalsRowDxfId="68" totalsRowCellStyle="Normal 6"/>
    <tableColumn id="33" xr3:uid="{EDB0FF6C-E79B-4017-9E2A-5847967769B6}" name="Learning Resources (non IT)" totalsRowFunction="average" dataDxfId="67" totalsRowDxfId="66" totalsRowCellStyle="Normal 6"/>
    <tableColumn id="34" xr3:uid="{60F99309-07A2-4B55-8383-EF2813FDCBF5}" name="Learning Resources (IT)" totalsRowFunction="average" dataDxfId="65" totalsRowDxfId="64" totalsRowCellStyle="Normal 6"/>
    <tableColumn id="35" xr3:uid="{9844580C-D44A-419F-8871-6B3462697334}" name="Exam Fees" totalsRowFunction="average" dataDxfId="63" totalsRowDxfId="62" totalsRowCellStyle="Normal 6"/>
    <tableColumn id="36" xr3:uid="{EB253358-44FE-40B5-8F29-99B7AF4E56ED}" name="Admin Supplies" totalsRowFunction="stdDev" dataDxfId="61" totalsRowDxfId="60" totalsRowCellStyle="Normal 6"/>
    <tableColumn id="41" xr3:uid="{EF79F97C-2956-4352-BA79-8D8FD4DED649}" name="Supplies &amp; Services Costs" totalsRowFunction="stdDev" dataDxfId="59" totalsRowDxfId="58" totalsRowCellStyle="Normal 6"/>
    <tableColumn id="45" xr3:uid="{5D6FCCFA-32DF-4D9B-82FA-86FFB3F92C64}" name="Learning resources (non ICT)" dataDxfId="57" totalsRowDxfId="56" totalsRowCellStyle="Normal 6"/>
    <tableColumn id="46" xr3:uid="{E6EF4F50-8942-4DFC-8232-9C5E14DB97BF}" name="Learning resources (ICT)" dataDxfId="55" totalsRowDxfId="54" totalsRowCellStyle="Normal 6"/>
    <tableColumn id="47" xr3:uid="{E70AF0E5-9A7D-4AA8-8625-77BA8D4266C8}" name="Exam fee" dataDxfId="53" totalsRowDxfId="52" totalsRowCellStyle="Normal 6"/>
    <tableColumn id="25" xr3:uid="{268F7A93-91B7-4907-A19A-82805CBADEDF}" name="Educational Supplies Costs" totalsRowFunction="average" dataDxfId="51" totalsRowDxfId="50" totalsRowCellStyle="Normal 6"/>
    <tableColumn id="48" xr3:uid="{199A5C7B-892A-4B82-848F-9F7794FFDF4B}" name="Bought in professional services - educational" dataDxfId="49" totalsRowDxfId="48" totalsRowCellStyle="Normal 6"/>
    <tableColumn id="50" xr3:uid="{EC34286B-5819-4E9F-A049-3D43AE6B5D2F}" name="Bought in professional services - other" dataDxfId="47" totalsRowDxfId="46" totalsRowCellStyle="Normal 6"/>
    <tableColumn id="26" xr3:uid="{BB6904B5-4BCC-4203-94B5-AD0B44C16B3A}" name="Professional services costs" totalsRowFunction="average" dataDxfId="45" totalsRowDxfId="44" totalsRowCellStyle="Normal 6"/>
    <tableColumn id="5" xr3:uid="{B32F7190-98B4-4C2D-BACE-E507DE201E99}" name="Total expenditure per pupil" totalsRowFunction="custom" dataDxfId="43" totalsRowDxfId="42" totalsRowCellStyle="Normal 6">
      <calculatedColumnFormula>Table35[[#This Row],[Total Expenditure]]/Table35[[#This Row],[Number of pupils (FTE)]]</calculatedColumnFormula>
      <totalsRowFormula>AVERAGE(BC185:BC201)</totalsRowFormula>
    </tableColumn>
    <tableColumn id="17" xr3:uid="{E71410B7-1861-4E04-A292-9DC7BD3F3498}" name="Staffing cost per pupil" totalsRowFunction="custom" dataDxfId="41" totalsRowDxfId="40" totalsRowCellStyle="Normal 6">
      <calculatedColumnFormula>Table35[[#This Row],[Total Staff Costs]]/Table35[[#This Row],[Number of pupils (FTE)]]</calculatedColumnFormula>
      <totalsRowFormula>AVERAGE(BD185:BD201)</totalsRowFormula>
    </tableColumn>
    <tableColumn id="18" xr3:uid="{ABA0B13C-F7BB-4A61-A87F-64BD6826E603}" name="Teaching cost per teacher" totalsRowFunction="custom" dataDxfId="39" totalsRowDxfId="38" totalsRowCellStyle="Normal 6">
      <calculatedColumnFormula>Table35[[#This Row],[Teaching staff]]/Table35[[#This Row],[Number of teachers in academy (FTE)]]</calculatedColumnFormula>
      <totalsRowFormula>AVERAGE(BE185:BE201)</totalsRowFormula>
    </tableColumn>
    <tableColumn id="61" xr3:uid="{231A9A92-4022-4826-8269-01E376433E79}" name="Pupils per teacher" totalsRowFunction="average" dataDxfId="37" totalsRowDxfId="36" totalsRowCellStyle="Normal 6">
      <calculatedColumnFormula>Table35[[#This Row],[Number of pupils (FTE)]]/Table35[[#This Row],[Number of teachers in academy (FTE)]]</calculatedColumnFormula>
    </tableColumn>
    <tableColumn id="74" xr3:uid="{0315F2A5-CB78-4C05-B4A6-77DD1BD2979F}" name="Total non staffing cost per pupil" dataDxfId="35" totalsRowDxfId="34" totalsRowCellStyle="Normal 6">
      <calculatedColumnFormula>AA3/E3</calculatedColumnFormula>
    </tableColumn>
    <tableColumn id="62" xr3:uid="{92C34F6C-B612-4B01-A8D4-B696ADF0538B}" name="Premises costs per pupil" totalsRowFunction="custom" dataDxfId="33" totalsRowDxfId="32" totalsRowCellStyle="Normal 6">
      <calculatedColumnFormula>Table35[[#This Row],[Premises Costs]]/Table35[[#This Row],[Number of pupils (FTE)]]</calculatedColumnFormula>
      <totalsRowFormula>AVERAGE(BH185:BH201)</totalsRowFormula>
    </tableColumn>
    <tableColumn id="63" xr3:uid="{017B501E-79E5-4C2C-820E-62BECEDFB5F6}" name="Maintenance per pupil" totalsRowFunction="average" dataDxfId="31" totalsRowDxfId="30" totalsRowCellStyle="Normal 6">
      <calculatedColumnFormula>Table35[[#This Row],[Maintenance &amp; Improvement Costs]]/Table35[[#This Row],[Number of pupils (FTE)]]</calculatedColumnFormula>
    </tableColumn>
    <tableColumn id="49" xr3:uid="{103F5F11-A55A-40F6-942A-07C8D0F9EE41}" name="Catering supplies per pupil" totalsRowFunction="average" dataDxfId="29" totalsRowDxfId="28" totalsRowCellStyle="Normal 6">
      <calculatedColumnFormula>#REF!/E3</calculatedColumnFormula>
    </tableColumn>
    <tableColumn id="64" xr3:uid="{24E47521-5E88-46BC-86C8-DF095D4338E3}" name="Water/sewage per pupil" totalsRowFunction="average" dataDxfId="27" totalsRowDxfId="26" totalsRowCellStyle="Normal 6">
      <calculatedColumnFormula>AK3/E3</calculatedColumnFormula>
    </tableColumn>
    <tableColumn id="65" xr3:uid="{E79CC262-DF09-4C2E-BB5D-143AE0D099E2}" name="Rent/rates per pupil" totalsRowFunction="average" dataDxfId="25" totalsRowDxfId="24" totalsRowCellStyle="Normal 6">
      <calculatedColumnFormula>AL3/E3</calculatedColumnFormula>
    </tableColumn>
    <tableColumn id="66" xr3:uid="{4D2704C7-4AF9-4862-A924-2436CA4F7EB6}" name="Energy per pupil" totalsRowFunction="average" dataDxfId="23" totalsRowDxfId="22" totalsRowCellStyle="Normal 6">
      <calculatedColumnFormula>AM3/E3</calculatedColumnFormula>
    </tableColumn>
    <tableColumn id="67" xr3:uid="{9876D00E-6AB3-4912-9CAA-956355F48690}" name="Learning resources (non IT) per pupil" totalsRowFunction="average" dataDxfId="21" totalsRowDxfId="20" totalsRowCellStyle="Normal 6">
      <calculatedColumnFormula>AQ3/E3</calculatedColumnFormula>
    </tableColumn>
    <tableColumn id="68" xr3:uid="{926E571B-81EC-4E4A-BF57-A354A0A61D74}" name="Learning resources (IT) per pupil" totalsRowFunction="average" dataDxfId="19" totalsRowDxfId="18" totalsRowCellStyle="Normal 6">
      <calculatedColumnFormula>AR3/E3</calculatedColumnFormula>
    </tableColumn>
    <tableColumn id="69" xr3:uid="{BE4E6BC5-F054-4303-BFBB-C34F7431C465}" name="Admin supplies per pupil" totalsRowFunction="average" dataDxfId="17" totalsRowDxfId="16" totalsRowCellStyle="Normal 6">
      <calculatedColumnFormula>AT3/E3</calculatedColumnFormula>
    </tableColumn>
    <tableColumn id="70" xr3:uid="{3712773A-4F76-4C9B-A390-C4033F003EDB}" name="Supplies &amp; Services per pupil" totalsRowFunction="average" dataDxfId="15" totalsRowDxfId="14" totalsRowCellStyle="Normal 6">
      <calculatedColumnFormula>AU3/E3</calculatedColumnFormula>
    </tableColumn>
    <tableColumn id="71" xr3:uid="{41A4406C-3BEB-43D6-9092-1020ED4945F9}" name="Educational supplies per pupil" totalsRowFunction="average" dataDxfId="13" totalsRowDxfId="12" totalsRowCellStyle="Normal 6">
      <calculatedColumnFormula>AY3/E3</calculatedColumnFormula>
    </tableColumn>
    <tableColumn id="72" xr3:uid="{3E7C3DC8-76B8-4133-895E-C6E29178E96F}" name="Professional services per pupil" totalsRowFunction="average" dataDxfId="11" totalsRowDxfId="10" totalsRowCellStyle="Normal 6">
      <calculatedColumnFormula>BB3/E3</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5" dT="2026-05-18T07:35:56.27" personId="{40AF193A-77A4-48DC-9590-8163659294C1}" id="{0E0D4C7C-0630-4D65-9FCF-407EFB0660FB}">
    <text>Place number return update</text>
  </threadedComment>
  <threadedComment ref="O12" dT="2026-05-18T07:36:19.46" personId="{40AF193A-77A4-48DC-9590-8163659294C1}" id="{1F6E9AAB-AB14-43A4-99AB-DA19FDD2AE27}">
    <text>Place number return update</text>
  </threadedComment>
  <threadedComment ref="O13" dT="2026-05-18T07:39:22.57" personId="{40AF193A-77A4-48DC-9590-8163659294C1}" id="{34C52324-5252-44BF-A60B-01E90FA88854}">
    <text>Place number return update</text>
  </threadedComment>
  <threadedComment ref="CE14" dT="2026-05-13T20:39:25.87" personId="{40AF193A-77A4-48DC-9590-8163659294C1}" id="{C2EA7045-8022-4FB1-8618-07C6285005EA}">
    <text>School Size increase</text>
  </threadedComment>
  <threadedComment ref="BJ21" dT="2026-05-13T20:07:46.03" personId="{40AF193A-77A4-48DC-9590-8163659294C1}" id="{F7E2434A-47E2-44A0-AE52-BA42B9B44EF6}">
    <text>Band changes and increase in pupil numbers</text>
  </threadedComment>
  <threadedComment ref="BU21" dT="2026-05-13T20:46:50.24" personId="{40AF193A-77A4-48DC-9590-8163659294C1}" id="{635F8CCC-A45A-4F7C-90C0-662D29AED9D0}">
    <text>Similar value to that seen in the 2025/26 analysis</text>
  </threadedComment>
</ThreadedComments>
</file>

<file path=xl/threadedComments/threadedComment2.xml><?xml version="1.0" encoding="utf-8"?>
<ThreadedComments xmlns="http://schemas.microsoft.com/office/spreadsheetml/2018/threadedcomments" xmlns:x="http://schemas.openxmlformats.org/spreadsheetml/2006/main">
  <threadedComment ref="G5" dT="2025-02-27T12:17:20.28" personId="{6AEDB1E5-BD20-4AB2-AE08-5FE142956C7E}" id="{F48DAA8E-A622-4DE3-89A3-01138F1C5C6A}">
    <text xml:space="preserve">See Split Site Amalgamation s/sheet </text>
  </threadedComment>
  <threadedComment ref="G12" dT="2025-02-28T11:17:56.09" personId="{6AEDB1E5-BD20-4AB2-AE08-5FE142956C7E}" id="{AED5F158-7656-4826-92E3-B5C7D9BFF74A}">
    <text>See Split Site Amalgamation s/sheet</text>
  </threadedComment>
  <threadedComment ref="C14" dT="2022-02-23T00:19:24.67" personId="{40AF193A-77A4-48DC-9590-8163659294C1}" id="{F0B71B65-6158-4D25-8E75-EA3A91E64D0E}">
    <text>Main School site capacity 72 places. The remainder of places up to a further 32 places has fixed costs supported through the split site factor</text>
  </threadedComment>
  <threadedComment ref="G14" dT="2024-02-16T15:11:59.18" personId="{6AEDB1E5-BD20-4AB2-AE08-5FE142956C7E}" id="{0C3CD6AE-B972-44C3-812D-C794C3ED7B11}">
    <text>Previously £179,941</text>
  </threadedComment>
  <threadedComment ref="C17" dT="2026-05-11T11:56:57.62" personId="{40AF193A-77A4-48DC-9590-8163659294C1}" id="{6C39E9F8-6284-4F07-AD04-5597ED5D9966}">
    <text>Change</text>
  </threadedComment>
  <threadedComment ref="G18" dT="2025-02-27T12:17:37.49" personId="{6AEDB1E5-BD20-4AB2-AE08-5FE142956C7E}" id="{39902B96-13D3-469D-A17C-68B78B6F391F}">
    <text>See Split Site Amalgamation s/sheet</text>
  </threadedComment>
  <threadedComment ref="C37" dT="2022-02-23T00:19:24.67" personId="{40AF193A-77A4-48DC-9590-8163659294C1}" id="{3B5D8177-C0D3-419F-9533-17CD4B6120A3}">
    <text>Main School site capacity 72 places. The remainder of places up to a further 32 places has fixed costs supported through the split site factor</text>
  </threadedComment>
  <threadedComment ref="G51" dT="2025-02-27T12:17:20.28" personId="{6AEDB1E5-BD20-4AB2-AE08-5FE142956C7E}" id="{5448D6D8-65FC-4FBA-A2B5-C764B4A5DB5D}">
    <text xml:space="preserve">See Split Site Amalgamation s/sheet </text>
  </threadedComment>
  <threadedComment ref="G58" dT="2025-02-28T11:17:56.09" personId="{6AEDB1E5-BD20-4AB2-AE08-5FE142956C7E}" id="{471C4D04-F8E0-4B90-ACF8-1A6AF62F0773}">
    <text>See Split Site Amalgamation s/sheet</text>
  </threadedComment>
  <threadedComment ref="C60" dT="2022-02-23T00:19:24.67" personId="{40AF193A-77A4-48DC-9590-8163659294C1}" id="{27C7068A-E814-447E-A071-DE46FEC12D4C}">
    <text>Main School site capacity 72 places. The remainder of places up to a further 32 places has fixed costs supported through the split site factor</text>
  </threadedComment>
  <threadedComment ref="G60" dT="2024-02-16T15:11:59.18" personId="{6AEDB1E5-BD20-4AB2-AE08-5FE142956C7E}" id="{5625CEFB-0542-450D-96BE-7DB613CF1B7A}">
    <text>Previously £179,941</text>
  </threadedComment>
  <threadedComment ref="C63" dT="2026-05-11T11:56:57.62" personId="{40AF193A-77A4-48DC-9590-8163659294C1}" id="{8E01A140-875C-4CD4-B0C2-9E77916A465F}">
    <text>Change</text>
  </threadedComment>
  <threadedComment ref="G64" dT="2025-02-27T12:17:37.49" personId="{6AEDB1E5-BD20-4AB2-AE08-5FE142956C7E}" id="{C704CD4A-D424-46F6-90FF-8072FB812F99}">
    <text>See Split Site Amalgamation s/sheet</text>
  </threadedComment>
</ThreadedComments>
</file>

<file path=xl/threadedComments/threadedComment3.xml><?xml version="1.0" encoding="utf-8"?>
<ThreadedComments xmlns="http://schemas.microsoft.com/office/spreadsheetml/2018/threadedcomments" xmlns:x="http://schemas.openxmlformats.org/spreadsheetml/2006/main">
  <threadedComment ref="G5" dT="2025-02-27T12:17:20.28" personId="{6AEDB1E5-BD20-4AB2-AE08-5FE142956C7E}" id="{4B4D9AA0-143A-4B80-ADA6-C033A9986EEE}">
    <text xml:space="preserve">See Split Site Amalgamation s/sheet </text>
  </threadedComment>
  <threadedComment ref="G11" dT="2025-02-28T11:17:56.09" personId="{6AEDB1E5-BD20-4AB2-AE08-5FE142956C7E}" id="{2BCD51E2-E04C-41EC-8491-56A86DA0C95E}">
    <text>See Split Site Amalgamation s/sheet</text>
  </threadedComment>
  <threadedComment ref="G14" dT="2025-02-27T12:17:37.49" personId="{6AEDB1E5-BD20-4AB2-AE08-5FE142956C7E}" id="{D2E8FD79-B24D-4626-B645-0357FE88C579}">
    <text>See Split Site Amalgamation s/sheet</text>
  </threadedComment>
  <threadedComment ref="C35" dT="2022-02-23T00:19:24.67" personId="{40AF193A-77A4-48DC-9590-8163659294C1}" id="{1D6A8979-0072-43D2-BD64-F45714D3E799}">
    <text>Main School site capacity 72 places. The remainder of places up to a further 32 places has fixed costs supported through the split site factor</text>
  </threadedComment>
  <threadedComment ref="G35" dT="2024-02-16T15:11:59.18" personId="{6AEDB1E5-BD20-4AB2-AE08-5FE142956C7E}" id="{22CCB079-14C1-4A3D-AB12-B20893BC4F4B}">
    <text>Previously £179,941</text>
  </threadedComment>
</ThreadedComments>
</file>

<file path=xl/threadedComments/threadedComment4.xml><?xml version="1.0" encoding="utf-8"?>
<ThreadedComments xmlns="http://schemas.microsoft.com/office/spreadsheetml/2018/threadedcomments" xmlns:x="http://schemas.openxmlformats.org/spreadsheetml/2006/main">
  <threadedComment ref="C21" dT="2022-02-23T00:19:24.67" personId="{40AF193A-77A4-48DC-9590-8163659294C1}" id="{F33A83DE-1E0E-4069-AA33-B565E444368B}">
    <text>Main School site capacity 72 places. The remainder of places up to a further 32 places has fixed costs supported through the split site factor</text>
  </threadedComment>
</ThreadedComments>
</file>

<file path=xl/threadedComments/threadedComment5.xml><?xml version="1.0" encoding="utf-8"?>
<ThreadedComments xmlns="http://schemas.microsoft.com/office/spreadsheetml/2018/threadedcomments" xmlns:x="http://schemas.openxmlformats.org/spreadsheetml/2006/main">
  <threadedComment ref="G16" dT="2025-02-19T16:51:30.87" personId="{6AEDB1E5-BD20-4AB2-AE08-5FE142956C7E}" id="{EBFCD323-5424-4B42-AFAB-B0014D89DC66}">
    <text>Awaiting confirmation from ESFA that school will be funded for 85 not 81</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8" Type="http://schemas.openxmlformats.org/officeDocument/2006/relationships/hyperlink" Target="file:///C:\Users\HumanResources\JobDescriptionLibrary\01-165%20Cook%20In%20Charge%20Special%20Schools%20-%20Schools.pdf" TargetMode="External"/><Relationship Id="rId3" Type="http://schemas.openxmlformats.org/officeDocument/2006/relationships/hyperlink" Target="file:///C:\Users\HumanResources\JobDescriptionLibrary\01-204%20School%20Business%20Manager%20(Level%201)%20-%20Schools.pdf" TargetMode="External"/><Relationship Id="rId7" Type="http://schemas.openxmlformats.org/officeDocument/2006/relationships/hyperlink" Target="file:///C:\Users\HumanResources\JobDescriptionLibrary\01-186%20Site%20Manager%20-%20Primary%20School%20-%20Schools.pdf" TargetMode="External"/><Relationship Id="rId12" Type="http://schemas.openxmlformats.org/officeDocument/2006/relationships/comments" Target="../comments5.xml"/><Relationship Id="rId2" Type="http://schemas.openxmlformats.org/officeDocument/2006/relationships/hyperlink" Target="file:///C:\Users\HumanResources\JobDescriptionLibrary\01-102%20Midday%20Supervisory%20Assistant%20-%20Schools.pdf" TargetMode="External"/><Relationship Id="rId1" Type="http://schemas.openxmlformats.org/officeDocument/2006/relationships/hyperlink" Target="file:///C:\Users\HumanResources\JobDescriptionLibrary\01-215%20SENCO%20-%20Schools.pdf" TargetMode="External"/><Relationship Id="rId6" Type="http://schemas.openxmlformats.org/officeDocument/2006/relationships/hyperlink" Target="file:///C:\Users\HumanResources\JobDescriptionLibrary\01-101%20Administrator%20-%20Schools.pdf" TargetMode="External"/><Relationship Id="rId11" Type="http://schemas.openxmlformats.org/officeDocument/2006/relationships/vmlDrawing" Target="../drawings/vmlDrawing5.vml"/><Relationship Id="rId5" Type="http://schemas.openxmlformats.org/officeDocument/2006/relationships/hyperlink" Target="file:///C:\Users\HumanResources\JobDescriptionLibrary\01-141%20Senior%20Administrator%20without%20staff%20-%20Schools.pdf" TargetMode="External"/><Relationship Id="rId10" Type="http://schemas.openxmlformats.org/officeDocument/2006/relationships/printerSettings" Target="../printerSettings/printerSettings9.bin"/><Relationship Id="rId4" Type="http://schemas.openxmlformats.org/officeDocument/2006/relationships/hyperlink" Target="file:///C:\Users\HumanResources\JobDescriptionLibrary\01-138%20Administration%20Assistant%20-%20Schools.pdf" TargetMode="External"/><Relationship Id="rId9" Type="http://schemas.openxmlformats.org/officeDocument/2006/relationships/hyperlink" Target="file:///C:\Users\HumanResources\JobDescriptionLibrary\01-140%20Catering%20Assistant%20-%20Schools.pdf"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xml"/><Relationship Id="rId4" Type="http://schemas.microsoft.com/office/2017/10/relationships/threadedComment" Target="../threadedComments/threadedComment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27C4-2BF8-4417-98BA-1A19E0BBBEFE}">
  <sheetPr>
    <pageSetUpPr fitToPage="1"/>
  </sheetPr>
  <dimension ref="A1:M104"/>
  <sheetViews>
    <sheetView tabSelected="1" topLeftCell="A59" zoomScale="89" zoomScaleNormal="89" workbookViewId="0">
      <selection activeCell="J10" sqref="J10"/>
    </sheetView>
  </sheetViews>
  <sheetFormatPr defaultColWidth="0" defaultRowHeight="14" zeroHeight="1" x14ac:dyDescent="0.3"/>
  <cols>
    <col min="1" max="1" width="5" style="714" customWidth="1"/>
    <col min="2" max="2" width="7.81640625" style="714" bestFit="1" customWidth="1"/>
    <col min="3" max="3" width="8.1796875" style="714" customWidth="1"/>
    <col min="4" max="5" width="12.54296875" style="714" customWidth="1"/>
    <col min="6" max="6" width="9.1796875" style="714" customWidth="1"/>
    <col min="7" max="7" width="31.1796875" style="714" customWidth="1"/>
    <col min="8" max="8" width="18.54296875" style="714" customWidth="1"/>
    <col min="9" max="9" width="13.1796875" style="714" customWidth="1"/>
    <col min="10" max="10" width="20.453125" style="714" customWidth="1"/>
    <col min="11" max="11" width="5.54296875" style="714" customWidth="1"/>
    <col min="12" max="13" width="0" style="714" hidden="1" customWidth="1"/>
    <col min="14" max="16384" width="9.1796875" style="714" hidden="1"/>
  </cols>
  <sheetData>
    <row r="1" spans="1:13" ht="14.5" hidden="1" thickBot="1" x14ac:dyDescent="0.35">
      <c r="B1" s="900"/>
      <c r="C1" s="900"/>
      <c r="D1" s="900"/>
      <c r="E1" s="900"/>
      <c r="F1" s="900"/>
      <c r="G1" s="900"/>
      <c r="H1" s="900"/>
      <c r="I1" s="900"/>
      <c r="J1" s="715" t="e">
        <v>#REF!</v>
      </c>
    </row>
    <row r="2" spans="1:13" s="718" customFormat="1" ht="32.25" customHeight="1" thickTop="1" thickBot="1" x14ac:dyDescent="0.35">
      <c r="B2" s="901" t="s">
        <v>839</v>
      </c>
      <c r="C2" s="902"/>
      <c r="D2" s="902"/>
      <c r="E2" s="902"/>
      <c r="F2" s="902"/>
      <c r="G2" s="902"/>
      <c r="H2" s="903"/>
      <c r="I2" s="904"/>
      <c r="J2" s="905"/>
    </row>
    <row r="3" spans="1:13" s="718" customFormat="1" ht="14.5" thickTop="1" x14ac:dyDescent="0.3"/>
    <row r="4" spans="1:13" s="718" customFormat="1" ht="20" x14ac:dyDescent="0.3">
      <c r="B4" s="906" t="s">
        <v>961</v>
      </c>
      <c r="C4" s="907"/>
      <c r="D4" s="907"/>
      <c r="E4" s="907"/>
      <c r="F4" s="907"/>
      <c r="G4" s="907"/>
      <c r="H4" s="907"/>
      <c r="I4" s="907"/>
      <c r="J4" s="908"/>
    </row>
    <row r="5" spans="1:13" s="719" customFormat="1" ht="12.5" x14ac:dyDescent="0.25">
      <c r="B5" s="813"/>
      <c r="C5" s="813"/>
      <c r="D5" s="813"/>
      <c r="E5" s="813"/>
      <c r="F5" s="813"/>
      <c r="G5" s="813"/>
      <c r="H5" s="813"/>
      <c r="I5" s="813"/>
      <c r="J5" s="813"/>
    </row>
    <row r="6" spans="1:13" s="718" customFormat="1" ht="20.25" customHeight="1" x14ac:dyDescent="0.3">
      <c r="B6" s="909" t="e">
        <f>VLOOKUP(I2,'2627 Places &amp; Banding'!1:1048576,2,(FALSE))</f>
        <v>#N/A</v>
      </c>
      <c r="C6" s="910"/>
      <c r="D6" s="910"/>
      <c r="E6" s="910"/>
      <c r="F6" s="910"/>
      <c r="G6" s="910"/>
      <c r="H6" s="910"/>
      <c r="I6" s="910"/>
      <c r="J6" s="911"/>
    </row>
    <row r="7" spans="1:13" s="718" customFormat="1" ht="15" customHeight="1" thickBot="1" x14ac:dyDescent="0.45">
      <c r="B7" s="914"/>
      <c r="C7" s="914"/>
      <c r="D7" s="914"/>
      <c r="E7" s="914"/>
      <c r="F7" s="914"/>
      <c r="G7" s="914"/>
      <c r="H7" s="914"/>
      <c r="I7" s="914"/>
      <c r="J7" s="914"/>
    </row>
    <row r="8" spans="1:13" s="720" customFormat="1" ht="58.5" customHeight="1" thickBot="1" x14ac:dyDescent="0.3">
      <c r="B8" s="915" t="s">
        <v>825</v>
      </c>
      <c r="C8" s="916"/>
      <c r="D8" s="916"/>
      <c r="E8" s="916"/>
      <c r="F8" s="916"/>
      <c r="G8" s="917"/>
      <c r="H8" s="814" t="s">
        <v>826</v>
      </c>
      <c r="I8" s="814" t="s">
        <v>827</v>
      </c>
      <c r="J8" s="815" t="s">
        <v>828</v>
      </c>
    </row>
    <row r="9" spans="1:13" s="718" customFormat="1" ht="15.5" x14ac:dyDescent="0.35">
      <c r="A9" s="804">
        <v>1</v>
      </c>
      <c r="B9" s="816" t="s">
        <v>830</v>
      </c>
      <c r="C9" s="817" t="s">
        <v>829</v>
      </c>
      <c r="D9" s="817"/>
      <c r="E9" s="817"/>
      <c r="F9" s="818"/>
      <c r="G9" s="817"/>
      <c r="H9" s="819" t="s">
        <v>869</v>
      </c>
      <c r="I9" s="820" t="s">
        <v>869</v>
      </c>
      <c r="J9" s="821" t="s">
        <v>869</v>
      </c>
      <c r="M9" s="721"/>
    </row>
    <row r="10" spans="1:13" s="718" customFormat="1" ht="15.5" x14ac:dyDescent="0.35">
      <c r="A10" s="804"/>
      <c r="B10" s="816"/>
      <c r="C10" s="817"/>
      <c r="D10" s="817" t="s">
        <v>836</v>
      </c>
      <c r="E10" s="817"/>
      <c r="F10" s="818"/>
      <c r="G10" s="817"/>
      <c r="H10" s="822" t="e">
        <f>VLOOKUP(I2,'2627 Places &amp; Banding'!$1:$1048576,12,(FALSE))</f>
        <v>#N/A</v>
      </c>
      <c r="I10" s="823">
        <f>10000*(5/12)</f>
        <v>4166.666666666667</v>
      </c>
      <c r="J10" s="824" t="e">
        <f>ROUND((H10*I10),0)</f>
        <v>#N/A</v>
      </c>
    </row>
    <row r="11" spans="1:13" s="718" customFormat="1" ht="15.5" x14ac:dyDescent="0.35">
      <c r="A11" s="804"/>
      <c r="B11" s="816"/>
      <c r="C11" s="817"/>
      <c r="D11" s="817" t="s">
        <v>835</v>
      </c>
      <c r="E11" s="817"/>
      <c r="F11" s="818"/>
      <c r="G11" s="817"/>
      <c r="H11" s="822" t="e">
        <f>VLOOKUP(I2,'2627 Places &amp; Banding'!$1:$1048576,15,(FALSE))</f>
        <v>#N/A</v>
      </c>
      <c r="I11" s="823">
        <f>10000*(7/12)</f>
        <v>5833.3333333333339</v>
      </c>
      <c r="J11" s="824" t="e">
        <f>ROUND((H11*I11),0)</f>
        <v>#N/A</v>
      </c>
    </row>
    <row r="12" spans="1:13" s="718" customFormat="1" ht="15.5" x14ac:dyDescent="0.35">
      <c r="A12" s="804"/>
      <c r="B12" s="816"/>
      <c r="C12" s="817"/>
      <c r="D12" s="817" t="s">
        <v>837</v>
      </c>
      <c r="E12" s="817"/>
      <c r="F12" s="818"/>
      <c r="G12" s="817"/>
      <c r="H12" s="822" t="e">
        <f>VLOOKUP(I2,'2627 Places &amp; Banding'!$1:$1048576,13,(FALSE))</f>
        <v>#N/A</v>
      </c>
      <c r="I12" s="823">
        <f>10000*(4/12)</f>
        <v>3333.333333333333</v>
      </c>
      <c r="J12" s="824" t="e">
        <f>ROUND((H12*I12),0)</f>
        <v>#N/A</v>
      </c>
    </row>
    <row r="13" spans="1:13" s="718" customFormat="1" ht="15.5" x14ac:dyDescent="0.35">
      <c r="A13" s="804"/>
      <c r="B13" s="816"/>
      <c r="C13" s="817"/>
      <c r="D13" s="817" t="s">
        <v>838</v>
      </c>
      <c r="E13" s="817"/>
      <c r="F13" s="818"/>
      <c r="G13" s="817"/>
      <c r="H13" s="822" t="e">
        <f>VLOOKUP(I2,'2627 Places &amp; Banding'!$1:$1048576,16,(FALSE))</f>
        <v>#N/A</v>
      </c>
      <c r="I13" s="823">
        <f>10000*(8/12)</f>
        <v>6666.6666666666661</v>
      </c>
      <c r="J13" s="824" t="e">
        <f>ROUND((H13*I13),0)</f>
        <v>#N/A</v>
      </c>
    </row>
    <row r="14" spans="1:13" s="718" customFormat="1" ht="15.5" x14ac:dyDescent="0.35">
      <c r="A14" s="804"/>
      <c r="B14" s="816"/>
      <c r="C14" s="817"/>
      <c r="D14" s="817"/>
      <c r="E14" s="817"/>
      <c r="F14" s="818"/>
      <c r="G14" s="817"/>
      <c r="H14" s="822"/>
      <c r="I14" s="823"/>
      <c r="J14" s="824"/>
    </row>
    <row r="15" spans="1:13" s="718" customFormat="1" ht="18.5" thickBot="1" x14ac:dyDescent="0.45">
      <c r="A15" s="804"/>
      <c r="B15" s="825" t="s">
        <v>850</v>
      </c>
      <c r="C15" s="826"/>
      <c r="D15" s="827"/>
      <c r="E15" s="827"/>
      <c r="F15" s="828"/>
      <c r="G15" s="827"/>
      <c r="H15" s="829"/>
      <c r="I15" s="830"/>
      <c r="J15" s="831" t="e">
        <f>SUM(J10:J13)</f>
        <v>#N/A</v>
      </c>
    </row>
    <row r="16" spans="1:13" s="718" customFormat="1" ht="15" customHeight="1" thickBot="1" x14ac:dyDescent="0.45">
      <c r="A16" s="804"/>
      <c r="B16" s="918" t="e">
        <f>VLOOKUP(I2,'2627 Places &amp; Banding'!1:1048576,38,(FALSE))</f>
        <v>#N/A</v>
      </c>
      <c r="C16" s="918"/>
      <c r="D16" s="918"/>
      <c r="E16" s="918"/>
      <c r="F16" s="918"/>
      <c r="G16" s="918"/>
      <c r="H16" s="918"/>
      <c r="I16" s="918"/>
      <c r="J16" s="918"/>
    </row>
    <row r="17" spans="1:10" s="718" customFormat="1" ht="58.5" customHeight="1" thickBot="1" x14ac:dyDescent="0.35">
      <c r="A17" s="804"/>
      <c r="B17" s="915" t="s">
        <v>937</v>
      </c>
      <c r="C17" s="916"/>
      <c r="D17" s="916"/>
      <c r="E17" s="916"/>
      <c r="F17" s="916"/>
      <c r="G17" s="917"/>
      <c r="H17" s="832" t="s">
        <v>853</v>
      </c>
      <c r="I17" s="832" t="s">
        <v>827</v>
      </c>
      <c r="J17" s="833" t="s">
        <v>828</v>
      </c>
    </row>
    <row r="18" spans="1:10" s="718" customFormat="1" ht="15.5" x14ac:dyDescent="0.35">
      <c r="A18" s="805">
        <v>2</v>
      </c>
      <c r="B18" s="816" t="s">
        <v>830</v>
      </c>
      <c r="C18" s="834" t="s">
        <v>831</v>
      </c>
      <c r="D18" s="817"/>
      <c r="E18" s="817"/>
      <c r="F18" s="817"/>
      <c r="G18" s="817"/>
      <c r="H18" s="820"/>
      <c r="I18" s="820"/>
      <c r="J18" s="835"/>
    </row>
    <row r="19" spans="1:10" s="718" customFormat="1" ht="15.5" x14ac:dyDescent="0.35">
      <c r="A19" s="805"/>
      <c r="B19" s="816"/>
      <c r="C19" s="817"/>
      <c r="D19" s="834" t="s">
        <v>841</v>
      </c>
      <c r="E19" s="817"/>
      <c r="F19" s="817"/>
      <c r="G19" s="817"/>
      <c r="H19" s="822" t="e">
        <f>VLOOKUP(I2,'2627 Places &amp; Banding'!$1:$1048576,23,(FALSE))</f>
        <v>#N/A</v>
      </c>
      <c r="I19" s="823" t="e">
        <f>IF(B16="All-complex Needs",('2627 Summary'!B18),IF(B16="SEMH School",('2627 Summary'!B34),("")))</f>
        <v>#N/A</v>
      </c>
      <c r="J19" s="824" t="e">
        <f>ROUND((H19*I19),0)</f>
        <v>#N/A</v>
      </c>
    </row>
    <row r="20" spans="1:10" s="718" customFormat="1" ht="15.5" x14ac:dyDescent="0.35">
      <c r="A20" s="805"/>
      <c r="B20" s="816"/>
      <c r="C20" s="817"/>
      <c r="D20" s="834" t="s">
        <v>842</v>
      </c>
      <c r="E20" s="817"/>
      <c r="F20" s="817"/>
      <c r="G20" s="817"/>
      <c r="H20" s="822" t="e">
        <f>VLOOKUP(I2,'2627 Places &amp; Banding'!$1:$1048576,25,(FALSE))</f>
        <v>#N/A</v>
      </c>
      <c r="I20" s="823" t="e">
        <f>IF(B16="All-complex Needs",('2627 Summary'!B19),IF(B16="SEMH School",('2627 Summary'!B35),("")))</f>
        <v>#N/A</v>
      </c>
      <c r="J20" s="824" t="e">
        <f>ROUND((H20*I20),0)</f>
        <v>#N/A</v>
      </c>
    </row>
    <row r="21" spans="1:10" s="718" customFormat="1" ht="15.5" x14ac:dyDescent="0.35">
      <c r="A21" s="805"/>
      <c r="B21" s="816"/>
      <c r="C21" s="817"/>
      <c r="D21" s="834" t="s">
        <v>843</v>
      </c>
      <c r="E21" s="817"/>
      <c r="F21" s="817"/>
      <c r="G21" s="817"/>
      <c r="H21" s="822" t="e">
        <f>VLOOKUP(I2,'2627 Places &amp; Banding'!$1:$1048576,27,(FALSE))</f>
        <v>#N/A</v>
      </c>
      <c r="I21" s="823" t="e">
        <f>IF(B16="All-complex Needs",('2627 Summary'!B20),IF(B16="SEMH School",('2627 Summary'!B36),("")))</f>
        <v>#N/A</v>
      </c>
      <c r="J21" s="824" t="e">
        <f>ROUND((H21*I21),0)</f>
        <v>#N/A</v>
      </c>
    </row>
    <row r="22" spans="1:10" s="718" customFormat="1" ht="15.5" x14ac:dyDescent="0.35">
      <c r="A22" s="805"/>
      <c r="B22" s="816"/>
      <c r="C22" s="817"/>
      <c r="D22" s="834"/>
      <c r="E22" s="817"/>
      <c r="F22" s="817"/>
      <c r="G22" s="817"/>
      <c r="H22" s="820"/>
      <c r="I22" s="836"/>
      <c r="J22" s="821" t="s">
        <v>869</v>
      </c>
    </row>
    <row r="23" spans="1:10" s="718" customFormat="1" ht="18.5" thickBot="1" x14ac:dyDescent="0.45">
      <c r="A23" s="804"/>
      <c r="B23" s="825" t="s">
        <v>868</v>
      </c>
      <c r="C23" s="837"/>
      <c r="D23" s="837"/>
      <c r="E23" s="837"/>
      <c r="F23" s="838"/>
      <c r="G23" s="837"/>
      <c r="H23" s="829" t="e">
        <f>SUM(H19:H21)</f>
        <v>#N/A</v>
      </c>
      <c r="I23" s="839"/>
      <c r="J23" s="840" t="e">
        <f>SUM(J19:J21)</f>
        <v>#N/A</v>
      </c>
    </row>
    <row r="24" spans="1:10" s="718" customFormat="1" ht="15" customHeight="1" thickBot="1" x14ac:dyDescent="0.45">
      <c r="A24" s="804"/>
      <c r="B24" s="920"/>
      <c r="C24" s="920"/>
      <c r="D24" s="920"/>
      <c r="E24" s="920"/>
      <c r="F24" s="920"/>
      <c r="G24" s="920"/>
      <c r="H24" s="920"/>
      <c r="I24" s="920"/>
      <c r="J24" s="920"/>
    </row>
    <row r="25" spans="1:10" s="718" customFormat="1" ht="31.5" thickBot="1" x14ac:dyDescent="0.35">
      <c r="A25" s="804"/>
      <c r="B25" s="915" t="s">
        <v>855</v>
      </c>
      <c r="C25" s="916"/>
      <c r="D25" s="916"/>
      <c r="E25" s="916"/>
      <c r="F25" s="916"/>
      <c r="G25" s="916"/>
      <c r="H25" s="832" t="s">
        <v>853</v>
      </c>
      <c r="I25" s="832" t="s">
        <v>827</v>
      </c>
      <c r="J25" s="841" t="s">
        <v>828</v>
      </c>
    </row>
    <row r="26" spans="1:10" s="718" customFormat="1" ht="15.5" x14ac:dyDescent="0.35">
      <c r="A26" s="804">
        <v>3</v>
      </c>
      <c r="B26" s="842" t="s">
        <v>830</v>
      </c>
      <c r="C26" s="843" t="s">
        <v>938</v>
      </c>
      <c r="D26" s="844"/>
      <c r="E26" s="844"/>
      <c r="F26" s="844"/>
      <c r="G26" s="844"/>
      <c r="H26" s="845"/>
      <c r="I26" s="845"/>
      <c r="J26" s="846"/>
    </row>
    <row r="27" spans="1:10" s="718" customFormat="1" ht="18" x14ac:dyDescent="0.4">
      <c r="A27" s="804"/>
      <c r="B27" s="847"/>
      <c r="C27" s="848"/>
      <c r="D27" s="817" t="s">
        <v>833</v>
      </c>
      <c r="E27" s="848"/>
      <c r="F27" s="849"/>
      <c r="G27" s="848"/>
      <c r="H27" s="850"/>
      <c r="I27" s="851"/>
      <c r="J27" s="824" t="e">
        <f>ROUND((VLOOKUP(I2,'2627 Places &amp; Banding'!$1:$1048576,31,(FALSE))),0)</f>
        <v>#N/A</v>
      </c>
    </row>
    <row r="28" spans="1:10" s="718" customFormat="1" ht="18" x14ac:dyDescent="0.4">
      <c r="A28" s="804"/>
      <c r="B28" s="847"/>
      <c r="C28" s="848"/>
      <c r="D28" s="817" t="s">
        <v>914</v>
      </c>
      <c r="E28" s="848"/>
      <c r="F28" s="849"/>
      <c r="G28" s="848"/>
      <c r="H28" s="850"/>
      <c r="I28" s="851"/>
      <c r="J28" s="824" t="e">
        <f>ROUND((VLOOKUP(I2,'2627 Places &amp; Banding'!$1:$1048576,33,(FALSE))),0)</f>
        <v>#N/A</v>
      </c>
    </row>
    <row r="29" spans="1:10" s="718" customFormat="1" ht="18" x14ac:dyDescent="0.4">
      <c r="A29" s="804"/>
      <c r="B29" s="847"/>
      <c r="C29" s="848"/>
      <c r="D29" s="817" t="s">
        <v>854</v>
      </c>
      <c r="E29" s="848"/>
      <c r="F29" s="849"/>
      <c r="G29" s="848"/>
      <c r="H29" s="850"/>
      <c r="I29" s="851"/>
      <c r="J29" s="824" t="e">
        <f>ROUND((VLOOKUP(I2,'2627 Places &amp; Banding'!$1:$1048576,40,(FALSE))),0)</f>
        <v>#N/A</v>
      </c>
    </row>
    <row r="30" spans="1:10" s="718" customFormat="1" ht="18" x14ac:dyDescent="0.4">
      <c r="A30" s="804"/>
      <c r="B30" s="847"/>
      <c r="C30" s="848"/>
      <c r="D30" s="817"/>
      <c r="E30" s="848"/>
      <c r="F30" s="849"/>
      <c r="G30" s="848"/>
      <c r="H30" s="850"/>
      <c r="I30" s="851"/>
      <c r="J30" s="824"/>
    </row>
    <row r="31" spans="1:10" s="718" customFormat="1" ht="15.5" x14ac:dyDescent="0.35">
      <c r="A31" s="804"/>
      <c r="B31" s="816" t="s">
        <v>832</v>
      </c>
      <c r="C31" s="817" t="s">
        <v>856</v>
      </c>
      <c r="D31" s="817"/>
      <c r="E31" s="817"/>
      <c r="F31" s="818"/>
      <c r="G31" s="817"/>
      <c r="H31" s="822" t="e">
        <f>VLOOKUP(I2,'2627 Places &amp; Banding'!1:1048576,34,(FALSE))</f>
        <v>#N/A</v>
      </c>
      <c r="I31" s="823">
        <f>'2627 Places &amp; Banding'!AI2</f>
        <v>505</v>
      </c>
      <c r="J31" s="824" t="e">
        <f>ROUND((VLOOKUP(I2,'2627 Places &amp; Banding'!1:1048576,35,(FALSE))),0)</f>
        <v>#N/A</v>
      </c>
    </row>
    <row r="32" spans="1:10" s="718" customFormat="1" ht="15.5" x14ac:dyDescent="0.35">
      <c r="A32" s="804"/>
      <c r="B32" s="816"/>
      <c r="C32" s="817" t="s">
        <v>863</v>
      </c>
      <c r="D32" s="817"/>
      <c r="E32" s="817"/>
      <c r="F32" s="818"/>
      <c r="G32" s="817"/>
      <c r="H32" s="822" t="e">
        <f>VLOOKUP(I2,'2627 Places &amp; Banding'!1:1048576,37,(FALSE))</f>
        <v>#N/A</v>
      </c>
      <c r="I32" s="823">
        <f>'2627 Summary'!B19-'2627 Summary'!B18</f>
        <v>9106.5800728824906</v>
      </c>
      <c r="J32" s="824" t="e">
        <f>ROUND((VLOOKUP(I2,'2627 Places &amp; Banding'!1:1048576,36,(FALSE))),0)</f>
        <v>#N/A</v>
      </c>
    </row>
    <row r="33" spans="1:11" s="718" customFormat="1" ht="18" x14ac:dyDescent="0.4">
      <c r="A33" s="804"/>
      <c r="B33" s="847"/>
      <c r="C33" s="848"/>
      <c r="D33" s="817"/>
      <c r="E33" s="848"/>
      <c r="F33" s="849"/>
      <c r="G33" s="848"/>
      <c r="H33" s="850"/>
      <c r="I33" s="851"/>
      <c r="J33" s="824"/>
    </row>
    <row r="34" spans="1:11" s="718" customFormat="1" ht="18.5" thickBot="1" x14ac:dyDescent="0.45">
      <c r="A34" s="804"/>
      <c r="B34" s="825" t="s">
        <v>865</v>
      </c>
      <c r="C34" s="837"/>
      <c r="D34" s="837"/>
      <c r="E34" s="837"/>
      <c r="F34" s="838"/>
      <c r="G34" s="837"/>
      <c r="H34" s="852"/>
      <c r="I34" s="839"/>
      <c r="J34" s="840" t="e">
        <f>SUM(J27:J32)</f>
        <v>#N/A</v>
      </c>
    </row>
    <row r="35" spans="1:11" s="718" customFormat="1" ht="15" customHeight="1" thickBot="1" x14ac:dyDescent="0.45">
      <c r="A35" s="804"/>
      <c r="B35" s="919"/>
      <c r="C35" s="919"/>
      <c r="D35" s="919"/>
      <c r="E35" s="919"/>
      <c r="F35" s="919"/>
      <c r="G35" s="919"/>
      <c r="H35" s="919"/>
      <c r="I35" s="919"/>
      <c r="J35" s="919"/>
    </row>
    <row r="36" spans="1:11" s="718" customFormat="1" ht="31.5" thickBot="1" x14ac:dyDescent="0.35">
      <c r="A36" s="804"/>
      <c r="B36" s="915" t="s">
        <v>866</v>
      </c>
      <c r="C36" s="916"/>
      <c r="D36" s="916"/>
      <c r="E36" s="916"/>
      <c r="F36" s="916"/>
      <c r="G36" s="917"/>
      <c r="H36" s="832" t="s">
        <v>853</v>
      </c>
      <c r="I36" s="832" t="s">
        <v>827</v>
      </c>
      <c r="J36" s="833" t="s">
        <v>828</v>
      </c>
    </row>
    <row r="37" spans="1:11" s="718" customFormat="1" ht="15.5" x14ac:dyDescent="0.35">
      <c r="A37" s="804">
        <v>4</v>
      </c>
      <c r="B37" s="816"/>
      <c r="C37" s="817" t="s">
        <v>916</v>
      </c>
      <c r="D37" s="817"/>
      <c r="E37" s="817"/>
      <c r="F37" s="853"/>
      <c r="G37" s="817"/>
      <c r="H37" s="819"/>
      <c r="I37" s="820"/>
      <c r="J37" s="821"/>
    </row>
    <row r="38" spans="1:11" s="718" customFormat="1" ht="15.5" x14ac:dyDescent="0.35">
      <c r="A38" s="804"/>
      <c r="B38" s="816"/>
      <c r="C38" s="834" t="s">
        <v>864</v>
      </c>
      <c r="D38" s="817"/>
      <c r="E38" s="817"/>
      <c r="F38" s="853"/>
      <c r="G38" s="817"/>
      <c r="H38" s="822" t="e">
        <f>VLOOKUP(I2,'2627 Places &amp; Banding'!$1:$1048576,39,(FALSE))</f>
        <v>#N/A</v>
      </c>
      <c r="I38" s="822" t="e">
        <f>VLOOKUP(I2,'2627 Places &amp; Banding'!1:1048576,43,(FALSE))</f>
        <v>#N/A</v>
      </c>
      <c r="J38" s="824" t="e">
        <f>ROUND((VLOOKUP(I2,'2627 Places &amp; Banding'!1:1048576,44,(FALSE))),0)</f>
        <v>#N/A</v>
      </c>
    </row>
    <row r="39" spans="1:11" s="718" customFormat="1" ht="15.5" x14ac:dyDescent="0.35">
      <c r="A39" s="804"/>
      <c r="B39" s="816"/>
      <c r="C39" s="834" t="s">
        <v>840</v>
      </c>
      <c r="D39" s="817"/>
      <c r="E39" s="817"/>
      <c r="F39" s="853"/>
      <c r="G39" s="817"/>
      <c r="H39" s="822" t="e">
        <f>VLOOKUP(I2,'2627 Places &amp; Banding'!$1:$1048576,39,(FALSE))</f>
        <v>#N/A</v>
      </c>
      <c r="I39" s="822">
        <f>'2627 Places &amp; Banding'!AO2</f>
        <v>3048</v>
      </c>
      <c r="J39" s="824" t="e">
        <f>ROUND((VLOOKUP(I2,'2627 Places &amp; Banding'!$1:$1048576,41,(FALSE))),0)</f>
        <v>#N/A</v>
      </c>
    </row>
    <row r="40" spans="1:11" s="718" customFormat="1" ht="15.5" x14ac:dyDescent="0.35">
      <c r="A40" s="804"/>
      <c r="B40" s="816"/>
      <c r="C40" s="854" t="s">
        <v>849</v>
      </c>
      <c r="D40" s="817"/>
      <c r="E40" s="817"/>
      <c r="F40" s="853"/>
      <c r="G40" s="817"/>
      <c r="H40" s="822" t="e">
        <f>VLOOKUP(I2,'2627 Places &amp; Banding'!$1:$1048576,39,(FALSE))</f>
        <v>#N/A</v>
      </c>
      <c r="I40" s="822">
        <f>'2627 Places &amp; Banding'!AP2</f>
        <v>660</v>
      </c>
      <c r="J40" s="824" t="e">
        <f>ROUND((VLOOKUP(I2,'2627 Places &amp; Banding'!$1:$1048576,42,(FALSE))),0)</f>
        <v>#N/A</v>
      </c>
    </row>
    <row r="41" spans="1:11" s="718" customFormat="1" ht="15.5" x14ac:dyDescent="0.35">
      <c r="A41" s="804"/>
      <c r="B41" s="816"/>
      <c r="C41" s="834" t="str">
        <f>IF(DFE="","",IF(OR(DFE=8507067,DFE=8507014),"d) Residential Funding",""))</f>
        <v/>
      </c>
      <c r="D41" s="817"/>
      <c r="E41" s="817"/>
      <c r="F41" s="818"/>
      <c r="G41" s="817"/>
      <c r="H41" s="819"/>
      <c r="I41" s="820"/>
      <c r="J41" s="821"/>
    </row>
    <row r="42" spans="1:11" s="718" customFormat="1" ht="18" x14ac:dyDescent="0.4">
      <c r="A42" s="804"/>
      <c r="B42" s="855" t="s">
        <v>867</v>
      </c>
      <c r="C42" s="856"/>
      <c r="D42" s="857"/>
      <c r="E42" s="857"/>
      <c r="F42" s="858"/>
      <c r="G42" s="857"/>
      <c r="H42" s="859"/>
      <c r="I42" s="860"/>
      <c r="J42" s="861" t="e">
        <f>SUM(J38:J40)</f>
        <v>#N/A</v>
      </c>
    </row>
    <row r="43" spans="1:11" s="718" customFormat="1" ht="15" customHeight="1" x14ac:dyDescent="0.3">
      <c r="A43" s="804"/>
      <c r="B43" s="862"/>
      <c r="C43" s="863"/>
      <c r="D43" s="863"/>
      <c r="E43" s="863"/>
      <c r="F43" s="863"/>
      <c r="G43" s="863"/>
      <c r="H43" s="864"/>
      <c r="I43" s="865"/>
      <c r="J43" s="866"/>
    </row>
    <row r="44" spans="1:11" s="718" customFormat="1" ht="15" customHeight="1" x14ac:dyDescent="0.35">
      <c r="A44" s="804">
        <v>5</v>
      </c>
      <c r="B44" s="867"/>
      <c r="C44" s="868" t="s">
        <v>915</v>
      </c>
      <c r="D44" s="868"/>
      <c r="E44" s="868"/>
      <c r="F44" s="869"/>
      <c r="G44" s="868"/>
      <c r="H44" s="870" t="str">
        <f>IF(OR(DFE="",DFE=8509991),"",H8)</f>
        <v/>
      </c>
      <c r="I44" s="871" t="s">
        <v>869</v>
      </c>
      <c r="J44" s="872" t="e">
        <f>ROUND((VLOOKUP(I2,'2627 Places &amp; Banding'!1:1048576,80,(FALSE))),0)</f>
        <v>#N/A</v>
      </c>
    </row>
    <row r="45" spans="1:11" s="718" customFormat="1" ht="15.5" x14ac:dyDescent="0.35">
      <c r="A45" s="804">
        <v>6</v>
      </c>
      <c r="B45" s="867"/>
      <c r="C45" s="868" t="s">
        <v>834</v>
      </c>
      <c r="D45" s="868"/>
      <c r="E45" s="868"/>
      <c r="F45" s="869"/>
      <c r="G45" s="868"/>
      <c r="H45" s="870" t="str">
        <f>IF(OR(DFE="",DFE=8509991),"",H9)</f>
        <v/>
      </c>
      <c r="I45" s="871" t="s">
        <v>869</v>
      </c>
      <c r="J45" s="873"/>
    </row>
    <row r="46" spans="1:11" s="718" customFormat="1" ht="15" customHeight="1" thickBot="1" x14ac:dyDescent="0.35">
      <c r="B46" s="862"/>
      <c r="C46" s="874"/>
      <c r="D46" s="874"/>
      <c r="E46" s="874"/>
      <c r="F46" s="875"/>
      <c r="G46" s="874"/>
      <c r="H46" s="876"/>
      <c r="I46" s="876"/>
      <c r="J46" s="877"/>
    </row>
    <row r="47" spans="1:11" s="718" customFormat="1" ht="20.5" thickBot="1" x14ac:dyDescent="0.45">
      <c r="B47" s="878" t="s">
        <v>318</v>
      </c>
      <c r="C47" s="879"/>
      <c r="D47" s="879"/>
      <c r="E47" s="879"/>
      <c r="F47" s="879"/>
      <c r="G47" s="879"/>
      <c r="H47" s="879"/>
      <c r="I47" s="879"/>
      <c r="J47" s="880" t="e">
        <f>J15+J23+J34+J42+J44+J45</f>
        <v>#N/A</v>
      </c>
    </row>
    <row r="48" spans="1:11" x14ac:dyDescent="0.3">
      <c r="B48" s="881"/>
      <c r="C48" s="881"/>
      <c r="D48" s="881"/>
      <c r="E48" s="881"/>
      <c r="F48" s="881"/>
      <c r="G48" s="881"/>
      <c r="H48" s="881"/>
      <c r="I48" s="881"/>
      <c r="J48" s="881"/>
      <c r="K48" s="718"/>
    </row>
    <row r="49" spans="1:11" x14ac:dyDescent="0.3">
      <c r="B49" s="881"/>
      <c r="C49" s="881"/>
      <c r="D49" s="881"/>
      <c r="E49" s="881"/>
      <c r="F49" s="881"/>
      <c r="G49" s="881"/>
      <c r="H49" s="881"/>
      <c r="I49" s="897" t="s">
        <v>958</v>
      </c>
      <c r="J49" s="884" t="e">
        <f>((J23+J34+J44)/12)+(VLOOKUP(I2,'2627 Places &amp; Banding'!A:CP,94,(FALSE))/5)</f>
        <v>#N/A</v>
      </c>
      <c r="K49" s="718"/>
    </row>
    <row r="50" spans="1:11" x14ac:dyDescent="0.3">
      <c r="B50" s="881"/>
      <c r="C50" s="881"/>
      <c r="D50" s="881"/>
      <c r="E50" s="881"/>
      <c r="F50" s="881"/>
      <c r="G50" s="881"/>
      <c r="H50" s="881"/>
      <c r="I50" s="897" t="s">
        <v>959</v>
      </c>
      <c r="J50" s="884" t="e">
        <f>((J23+J34+J44)/12)+(VLOOKUP(I2,'2627 Places &amp; Banding'!A:CQ,95,(FALSE))/7)</f>
        <v>#N/A</v>
      </c>
      <c r="K50" s="718"/>
    </row>
    <row r="51" spans="1:11" x14ac:dyDescent="0.3">
      <c r="B51" s="881"/>
      <c r="C51" s="881"/>
      <c r="D51" s="881"/>
      <c r="E51" s="881"/>
      <c r="F51" s="881"/>
      <c r="G51" s="881"/>
      <c r="H51" s="881"/>
      <c r="I51" s="897"/>
      <c r="J51" s="884" t="e">
        <f>J47-J15</f>
        <v>#N/A</v>
      </c>
      <c r="K51" s="718"/>
    </row>
    <row r="52" spans="1:11" x14ac:dyDescent="0.3">
      <c r="A52" s="714" t="s">
        <v>960</v>
      </c>
      <c r="B52" s="881"/>
      <c r="C52" s="881"/>
      <c r="D52" s="881"/>
      <c r="E52" s="881"/>
      <c r="F52" s="881"/>
      <c r="G52" s="881"/>
      <c r="H52" s="881"/>
      <c r="I52" s="897"/>
      <c r="J52" s="884"/>
      <c r="K52" s="718"/>
    </row>
    <row r="53" spans="1:11" x14ac:dyDescent="0.3">
      <c r="B53" s="881"/>
      <c r="C53" s="881"/>
      <c r="D53" s="881"/>
      <c r="E53" s="881"/>
      <c r="F53" s="881"/>
      <c r="G53" s="881"/>
      <c r="H53" s="881"/>
      <c r="I53" s="897"/>
      <c r="J53" s="884"/>
      <c r="K53" s="718"/>
    </row>
    <row r="54" spans="1:11" x14ac:dyDescent="0.3">
      <c r="A54" s="806" t="s">
        <v>931</v>
      </c>
      <c r="B54" s="881"/>
      <c r="C54" s="881"/>
      <c r="D54" s="881"/>
      <c r="E54" s="881"/>
      <c r="F54" s="881"/>
      <c r="G54" s="881"/>
      <c r="H54" s="881"/>
      <c r="I54" s="896"/>
      <c r="J54" s="895"/>
      <c r="K54" s="718"/>
    </row>
    <row r="55" spans="1:11" ht="45" customHeight="1" x14ac:dyDescent="0.3">
      <c r="A55" s="807" t="s">
        <v>932</v>
      </c>
      <c r="B55" s="912" t="s">
        <v>934</v>
      </c>
      <c r="C55" s="912"/>
      <c r="D55" s="912"/>
      <c r="E55" s="912"/>
      <c r="F55" s="912"/>
      <c r="G55" s="912"/>
      <c r="H55" s="912"/>
      <c r="I55" s="912"/>
      <c r="J55" s="912"/>
      <c r="K55" s="718"/>
    </row>
    <row r="56" spans="1:11" x14ac:dyDescent="0.3">
      <c r="B56" s="881"/>
      <c r="C56" s="881"/>
      <c r="D56" s="881"/>
      <c r="E56" s="881"/>
      <c r="F56" s="881"/>
      <c r="G56" s="881"/>
      <c r="H56" s="881"/>
      <c r="I56" s="881"/>
      <c r="J56" s="881"/>
      <c r="K56" s="718"/>
    </row>
    <row r="57" spans="1:11" ht="105" customHeight="1" x14ac:dyDescent="0.3">
      <c r="A57" s="807" t="s">
        <v>933</v>
      </c>
      <c r="B57" s="912" t="s">
        <v>935</v>
      </c>
      <c r="C57" s="912"/>
      <c r="D57" s="912"/>
      <c r="E57" s="912"/>
      <c r="F57" s="912"/>
      <c r="G57" s="912"/>
      <c r="H57" s="912"/>
      <c r="I57" s="912"/>
      <c r="J57" s="912"/>
      <c r="K57" s="718"/>
    </row>
    <row r="58" spans="1:11" x14ac:dyDescent="0.3">
      <c r="B58" s="881"/>
      <c r="C58" s="881"/>
      <c r="D58" s="881"/>
      <c r="E58" s="881"/>
      <c r="F58" s="881"/>
      <c r="G58" s="881"/>
      <c r="H58" s="881"/>
      <c r="I58" s="881"/>
      <c r="J58" s="881"/>
      <c r="K58" s="718"/>
    </row>
    <row r="59" spans="1:11" ht="105" customHeight="1" x14ac:dyDescent="0.3">
      <c r="A59" s="807" t="s">
        <v>936</v>
      </c>
      <c r="B59" s="912" t="s">
        <v>947</v>
      </c>
      <c r="C59" s="912"/>
      <c r="D59" s="912"/>
      <c r="E59" s="912"/>
      <c r="F59" s="912"/>
      <c r="G59" s="912"/>
      <c r="H59" s="912"/>
      <c r="I59" s="912"/>
      <c r="J59" s="912"/>
      <c r="K59" s="718"/>
    </row>
    <row r="60" spans="1:11" x14ac:dyDescent="0.3">
      <c r="B60" s="881"/>
      <c r="C60" s="881"/>
      <c r="D60" s="881"/>
      <c r="E60" s="881"/>
      <c r="F60" s="881"/>
      <c r="G60" s="881"/>
      <c r="H60" s="881"/>
      <c r="I60" s="881"/>
      <c r="J60" s="881"/>
      <c r="K60" s="718"/>
    </row>
    <row r="61" spans="1:11" ht="60" customHeight="1" x14ac:dyDescent="0.3">
      <c r="A61" s="807" t="s">
        <v>939</v>
      </c>
      <c r="B61" s="912" t="s">
        <v>940</v>
      </c>
      <c r="C61" s="912"/>
      <c r="D61" s="912"/>
      <c r="E61" s="912"/>
      <c r="F61" s="912"/>
      <c r="G61" s="912"/>
      <c r="H61" s="912"/>
      <c r="I61" s="912"/>
      <c r="J61" s="912"/>
      <c r="K61" s="718"/>
    </row>
    <row r="62" spans="1:11" x14ac:dyDescent="0.3">
      <c r="B62" s="881"/>
      <c r="C62" s="881"/>
      <c r="D62" s="881"/>
      <c r="E62" s="881"/>
      <c r="F62" s="881"/>
      <c r="G62" s="881"/>
      <c r="H62" s="881"/>
      <c r="I62" s="881"/>
      <c r="J62" s="881"/>
      <c r="K62" s="718"/>
    </row>
    <row r="63" spans="1:11" ht="90" customHeight="1" x14ac:dyDescent="0.3">
      <c r="A63" s="808" t="s">
        <v>942</v>
      </c>
      <c r="B63" s="912" t="s">
        <v>941</v>
      </c>
      <c r="C63" s="912"/>
      <c r="D63" s="912"/>
      <c r="E63" s="912"/>
      <c r="F63" s="912"/>
      <c r="G63" s="912"/>
      <c r="H63" s="912"/>
      <c r="I63" s="912"/>
      <c r="J63" s="912"/>
      <c r="K63" s="718"/>
    </row>
    <row r="64" spans="1:11" x14ac:dyDescent="0.3">
      <c r="B64" s="881"/>
      <c r="C64" s="881"/>
      <c r="D64" s="881"/>
      <c r="E64" s="881"/>
      <c r="F64" s="881"/>
      <c r="G64" s="881"/>
      <c r="H64" s="881"/>
      <c r="I64" s="881"/>
      <c r="J64" s="881"/>
      <c r="K64" s="718"/>
    </row>
    <row r="65" spans="1:11" ht="15" customHeight="1" x14ac:dyDescent="0.3">
      <c r="A65" s="803">
        <v>5</v>
      </c>
      <c r="B65" s="921" t="s">
        <v>943</v>
      </c>
      <c r="C65" s="921"/>
      <c r="D65" s="921"/>
      <c r="E65" s="921"/>
      <c r="F65" s="921"/>
      <c r="G65" s="921"/>
      <c r="H65" s="921"/>
      <c r="I65" s="921"/>
      <c r="J65" s="921"/>
      <c r="K65" s="718"/>
    </row>
    <row r="66" spans="1:11" x14ac:dyDescent="0.3">
      <c r="B66" s="881"/>
      <c r="C66" s="881"/>
      <c r="D66" s="881"/>
      <c r="E66" s="881"/>
      <c r="F66" s="881"/>
      <c r="G66" s="881"/>
      <c r="H66" s="881"/>
      <c r="I66" s="881"/>
      <c r="J66" s="881"/>
      <c r="K66" s="718"/>
    </row>
    <row r="67" spans="1:11" ht="90" customHeight="1" x14ac:dyDescent="0.3">
      <c r="A67" s="807">
        <v>6</v>
      </c>
      <c r="B67" s="912" t="s">
        <v>948</v>
      </c>
      <c r="C67" s="912"/>
      <c r="D67" s="912"/>
      <c r="E67" s="912"/>
      <c r="F67" s="912"/>
      <c r="G67" s="912"/>
      <c r="H67" s="912"/>
      <c r="I67" s="912"/>
      <c r="J67" s="912"/>
      <c r="K67" s="718"/>
    </row>
    <row r="68" spans="1:11" x14ac:dyDescent="0.3">
      <c r="B68" s="881"/>
      <c r="C68" s="881"/>
      <c r="D68" s="881"/>
      <c r="E68" s="881"/>
      <c r="F68" s="881"/>
      <c r="G68" s="881"/>
      <c r="H68" s="913" t="s">
        <v>946</v>
      </c>
      <c r="I68" s="913"/>
      <c r="J68" s="913"/>
      <c r="K68" s="718"/>
    </row>
    <row r="69" spans="1:11" x14ac:dyDescent="0.3">
      <c r="B69" s="881"/>
      <c r="C69" s="881"/>
      <c r="D69" s="881"/>
      <c r="E69" s="881"/>
      <c r="F69" s="881"/>
      <c r="G69" s="881"/>
      <c r="H69" s="882" t="s">
        <v>138</v>
      </c>
      <c r="I69" s="881"/>
      <c r="J69" s="882" t="s">
        <v>924</v>
      </c>
      <c r="K69" s="718"/>
    </row>
    <row r="70" spans="1:11" x14ac:dyDescent="0.3">
      <c r="B70" s="881"/>
      <c r="C70" s="881"/>
      <c r="D70" s="881"/>
      <c r="E70" s="881"/>
      <c r="F70" s="881"/>
      <c r="G70" s="881" t="s">
        <v>927</v>
      </c>
      <c r="H70" s="883" t="e">
        <f>VLOOKUP($I$2,'2526 Funding Comparisons'!$1:$1048576,12,(FALSE))</f>
        <v>#N/A</v>
      </c>
      <c r="I70" s="881"/>
      <c r="J70" s="883" t="e">
        <f>VLOOKUP($I$2,'2627 Funding Detail 2'!$A$3:$AD$21,12,(FALSE))</f>
        <v>#N/A</v>
      </c>
      <c r="K70" s="718"/>
    </row>
    <row r="71" spans="1:11" x14ac:dyDescent="0.3">
      <c r="B71" s="881"/>
      <c r="C71" s="881"/>
      <c r="D71" s="881"/>
      <c r="E71" s="881"/>
      <c r="F71" s="881"/>
      <c r="G71" s="881" t="s">
        <v>312</v>
      </c>
      <c r="H71" s="884" t="e">
        <f>VLOOKUP($I$2,'2526 Funding Comparisons'!$1:$1048576,4,(FALSE))</f>
        <v>#N/A</v>
      </c>
      <c r="I71" s="881"/>
      <c r="J71" s="884" t="e">
        <f>VLOOKUP($I$2,'2627 Funding Detail 2'!$A$3:$AD$21,4,(FALSE))</f>
        <v>#N/A</v>
      </c>
      <c r="K71" s="718"/>
    </row>
    <row r="72" spans="1:11" x14ac:dyDescent="0.3">
      <c r="B72" s="881"/>
      <c r="C72" s="881"/>
      <c r="D72" s="881"/>
      <c r="E72" s="881"/>
      <c r="F72" s="881"/>
      <c r="G72" s="881" t="s">
        <v>925</v>
      </c>
      <c r="H72" s="884" t="e">
        <f>VLOOKUP($I$2,'2526 Funding Comparisons'!$1:$1048576,5,(FALSE))</f>
        <v>#N/A</v>
      </c>
      <c r="I72" s="881"/>
      <c r="J72" s="884" t="e">
        <f>VLOOKUP($I$2,'2627 Funding Detail 2'!$A$3:$AD$21,5,(FALSE))</f>
        <v>#N/A</v>
      </c>
      <c r="K72" s="718"/>
    </row>
    <row r="73" spans="1:11" x14ac:dyDescent="0.3">
      <c r="B73" s="881"/>
      <c r="C73" s="881"/>
      <c r="D73" s="881"/>
      <c r="E73" s="881"/>
      <c r="F73" s="881"/>
      <c r="G73" s="881" t="s">
        <v>929</v>
      </c>
      <c r="H73" s="884" t="e">
        <f>VLOOKUP($I$2,'2526 Funding Comparisons'!$1:$1048576,7,(FALSE))</f>
        <v>#N/A</v>
      </c>
      <c r="I73" s="881"/>
      <c r="J73" s="884" t="e">
        <f>VLOOKUP($I$2,'2627 Funding Detail 2'!$A$3:$AD$21,7,(FALSE))</f>
        <v>#N/A</v>
      </c>
      <c r="K73" s="718"/>
    </row>
    <row r="74" spans="1:11" x14ac:dyDescent="0.3">
      <c r="B74" s="881"/>
      <c r="C74" s="881"/>
      <c r="D74" s="881"/>
      <c r="E74" s="881"/>
      <c r="F74" s="881"/>
      <c r="G74" s="881" t="s">
        <v>926</v>
      </c>
      <c r="H74" s="884" t="e">
        <f>VLOOKUP($I$2,'2526 Funding Comparisons'!$1:$1048576,8,(FALSE))</f>
        <v>#N/A</v>
      </c>
      <c r="I74" s="881"/>
      <c r="J74" s="884" t="e">
        <f>VLOOKUP($I$2,'2627 Funding Detail 2'!$A$3:$AD$21,8,(FALSE))</f>
        <v>#N/A</v>
      </c>
      <c r="K74" s="718"/>
    </row>
    <row r="75" spans="1:11" x14ac:dyDescent="0.3">
      <c r="B75" s="881"/>
      <c r="C75" s="881"/>
      <c r="D75" s="881"/>
      <c r="E75" s="881"/>
      <c r="F75" s="881"/>
      <c r="G75" s="881" t="s">
        <v>928</v>
      </c>
      <c r="H75" s="884" t="e">
        <f>VLOOKUP($I$2,'2526 Funding Comparisons'!$1:$1048576,16,(FALSE))</f>
        <v>#N/A</v>
      </c>
      <c r="I75" s="881"/>
      <c r="J75" s="884" t="e">
        <f>VLOOKUP($I$2,'2627 Funding Detail 2'!$A$3:$AD$21,16,(FALSE))</f>
        <v>#N/A</v>
      </c>
      <c r="K75" s="718"/>
    </row>
    <row r="76" spans="1:11" hidden="1" x14ac:dyDescent="0.3">
      <c r="B76" s="881"/>
      <c r="C76" s="881"/>
      <c r="D76" s="881"/>
      <c r="E76" s="881"/>
      <c r="F76" s="881"/>
      <c r="G76" s="881"/>
      <c r="H76" s="884" t="e">
        <f>VLOOKUP($I$2,'2526 Funding Comparisons'!$1:$1048576,12,(FALSE))</f>
        <v>#N/A</v>
      </c>
      <c r="I76" s="881"/>
      <c r="J76" s="884" t="e">
        <f>VLOOKUP($I$2,'2627 Funding Detail 2'!$A$3:$AD$21,12,(FALSE))</f>
        <v>#N/A</v>
      </c>
      <c r="K76" s="718"/>
    </row>
    <row r="77" spans="1:11" hidden="1" x14ac:dyDescent="0.3">
      <c r="B77" s="881"/>
      <c r="C77" s="881"/>
      <c r="D77" s="881"/>
      <c r="E77" s="881"/>
      <c r="F77" s="881"/>
      <c r="G77" s="881"/>
      <c r="H77" s="884" t="e">
        <f>VLOOKUP($I$2,'2526 Funding Comparisons'!$1:$1048576,12,(FALSE))</f>
        <v>#N/A</v>
      </c>
      <c r="I77" s="881"/>
      <c r="J77" s="884" t="e">
        <f>VLOOKUP($I$2,'2627 Funding Detail 2'!$A$3:$AD$21,12,(FALSE))</f>
        <v>#N/A</v>
      </c>
      <c r="K77" s="718"/>
    </row>
    <row r="78" spans="1:11" hidden="1" x14ac:dyDescent="0.3">
      <c r="B78" s="881"/>
      <c r="C78" s="881"/>
      <c r="D78" s="881"/>
      <c r="E78" s="881"/>
      <c r="F78" s="881"/>
      <c r="G78" s="881"/>
      <c r="H78" s="884" t="e">
        <f>VLOOKUP($I$2,'2526 Funding Comparisons'!$1:$1048576,12,(FALSE))</f>
        <v>#N/A</v>
      </c>
      <c r="I78" s="881"/>
      <c r="J78" s="884" t="e">
        <f>VLOOKUP($I$2,'2627 Funding Detail 2'!$A$3:$AD$21,12,(FALSE))</f>
        <v>#N/A</v>
      </c>
      <c r="K78" s="718"/>
    </row>
    <row r="79" spans="1:11" ht="14.5" thickBot="1" x14ac:dyDescent="0.35">
      <c r="B79" s="881"/>
      <c r="C79" s="881"/>
      <c r="D79" s="881"/>
      <c r="E79" s="881"/>
      <c r="F79" s="881"/>
      <c r="G79" s="881"/>
      <c r="H79" s="885" t="e">
        <f>VLOOKUP($I$2,'2526 Funding Comparisons'!$1:$1048576,25,(FALSE))</f>
        <v>#N/A</v>
      </c>
      <c r="I79" s="884"/>
      <c r="J79" s="885" t="e">
        <f>SUM(J71:J75)</f>
        <v>#N/A</v>
      </c>
      <c r="K79" s="718"/>
    </row>
    <row r="80" spans="1:11" x14ac:dyDescent="0.3">
      <c r="B80" s="881"/>
      <c r="C80" s="881"/>
      <c r="D80" s="881"/>
      <c r="E80" s="881"/>
      <c r="F80" s="881"/>
      <c r="G80" s="881" t="s">
        <v>944</v>
      </c>
      <c r="H80" s="884" t="e">
        <f>H79/H70</f>
        <v>#N/A</v>
      </c>
      <c r="I80" s="884"/>
      <c r="J80" s="884" t="e">
        <f>VLOOKUP(I2,'2627 Places &amp; Banding'!1:1048576,75,(FALSE))</f>
        <v>#N/A</v>
      </c>
      <c r="K80" s="718"/>
    </row>
    <row r="81" spans="2:11" x14ac:dyDescent="0.3">
      <c r="B81" s="881"/>
      <c r="C81" s="881"/>
      <c r="D81" s="881"/>
      <c r="E81" s="881"/>
      <c r="F81" s="881"/>
      <c r="G81" s="881"/>
      <c r="H81" s="884"/>
      <c r="I81" s="884"/>
      <c r="J81" s="884"/>
      <c r="K81" s="718"/>
    </row>
    <row r="82" spans="2:11" x14ac:dyDescent="0.3">
      <c r="B82" s="881"/>
      <c r="C82" s="881"/>
      <c r="D82" s="881"/>
      <c r="E82" s="881"/>
      <c r="F82" s="881"/>
      <c r="G82" s="881" t="s">
        <v>233</v>
      </c>
      <c r="H82" s="884" t="e">
        <f>VLOOKUP($I$2,'2526 Funding Comparisons'!$A$50:$H$65,4,(FALSE))</f>
        <v>#N/A</v>
      </c>
      <c r="I82" s="884"/>
      <c r="J82" s="884" t="e">
        <f>VLOOKUP($I$2,'2627 Places &amp; Banding'!$1:$1048576,70,FALSE)</f>
        <v>#N/A</v>
      </c>
      <c r="K82" s="718"/>
    </row>
    <row r="83" spans="2:11" x14ac:dyDescent="0.3">
      <c r="B83" s="881"/>
      <c r="C83" s="881"/>
      <c r="D83" s="881"/>
      <c r="E83" s="881"/>
      <c r="F83" s="881"/>
      <c r="G83" s="881" t="s">
        <v>240</v>
      </c>
      <c r="H83" s="884" t="e">
        <f>VLOOKUP($I$2,'2526 Funding Comparisons'!$A$50:$H$65,5,(FALSE))</f>
        <v>#N/A</v>
      </c>
      <c r="I83" s="884"/>
      <c r="J83" s="884" t="e">
        <f>VLOOKUP($I$2,'2627 Places &amp; Banding'!$1:$1048576,60,FALSE)</f>
        <v>#N/A</v>
      </c>
      <c r="K83" s="718"/>
    </row>
    <row r="84" spans="2:11" x14ac:dyDescent="0.3">
      <c r="B84" s="881"/>
      <c r="C84" s="881"/>
      <c r="D84" s="881"/>
      <c r="E84" s="881"/>
      <c r="F84" s="881"/>
      <c r="G84" s="881" t="s">
        <v>929</v>
      </c>
      <c r="H84" s="884" t="e">
        <f>VLOOKUP($I$2,'2526 Funding Comparisons'!$A$50:$H$65,6,(FALSE))</f>
        <v>#N/A</v>
      </c>
      <c r="I84" s="884"/>
      <c r="J84" s="884" t="e">
        <f>VLOOKUP($I$2,'2627 Places &amp; Banding'!$1:$1048576,31,FALSE)</f>
        <v>#N/A</v>
      </c>
      <c r="K84" s="718"/>
    </row>
    <row r="85" spans="2:11" x14ac:dyDescent="0.3">
      <c r="B85" s="881"/>
      <c r="C85" s="881"/>
      <c r="D85" s="881"/>
      <c r="E85" s="881"/>
      <c r="F85" s="881"/>
      <c r="G85" s="881" t="s">
        <v>881</v>
      </c>
      <c r="H85" s="884" t="e">
        <f>VLOOKUP($I$2,'2526 Funding Comparisons'!$A$50:$H$65,7,(FALSE))</f>
        <v>#N/A</v>
      </c>
      <c r="I85" s="884"/>
      <c r="J85" s="884" t="e">
        <f>VLOOKUP($I$2,'2627 Places &amp; Banding'!$1:$1048576,33,FALSE)</f>
        <v>#N/A</v>
      </c>
      <c r="K85" s="718"/>
    </row>
    <row r="86" spans="2:11" ht="14.5" thickBot="1" x14ac:dyDescent="0.35">
      <c r="B86" s="881"/>
      <c r="C86" s="881"/>
      <c r="D86" s="881"/>
      <c r="E86" s="881"/>
      <c r="F86" s="881"/>
      <c r="G86" s="881"/>
      <c r="H86" s="885" t="e">
        <f>SUM(H82:H85)</f>
        <v>#N/A</v>
      </c>
      <c r="I86" s="884"/>
      <c r="J86" s="885" t="e">
        <f>SUM(J82:J85)</f>
        <v>#N/A</v>
      </c>
      <c r="K86" s="718"/>
    </row>
    <row r="87" spans="2:11" x14ac:dyDescent="0.3">
      <c r="B87" s="881"/>
      <c r="C87" s="881"/>
      <c r="D87" s="881"/>
      <c r="E87" s="881"/>
      <c r="F87" s="881"/>
      <c r="G87" s="881"/>
      <c r="H87" s="884" t="e">
        <f>H86/H70</f>
        <v>#N/A</v>
      </c>
      <c r="I87" s="884"/>
      <c r="J87" s="884" t="e">
        <f>VLOOKUP(I2,'2627 Places &amp; Banding'!1:1048576,74,(FALSE))</f>
        <v>#N/A</v>
      </c>
      <c r="K87" s="718"/>
    </row>
    <row r="88" spans="2:11" x14ac:dyDescent="0.3">
      <c r="B88" s="881"/>
      <c r="C88" s="881"/>
      <c r="D88" s="881"/>
      <c r="E88" s="881"/>
      <c r="F88" s="881"/>
      <c r="G88" s="881"/>
      <c r="H88" s="886"/>
      <c r="I88" s="881"/>
      <c r="J88" s="887"/>
      <c r="K88" s="718"/>
    </row>
    <row r="89" spans="2:11" x14ac:dyDescent="0.3">
      <c r="B89" s="881"/>
      <c r="C89" s="881"/>
      <c r="D89" s="881"/>
      <c r="E89" s="881"/>
      <c r="F89" s="881"/>
      <c r="G89" s="881" t="s">
        <v>930</v>
      </c>
      <c r="H89" s="886" t="e">
        <f>(H86-H79)/H79</f>
        <v>#N/A</v>
      </c>
      <c r="I89" s="881"/>
      <c r="J89" s="888" t="e">
        <f>(J86-J79)/J79</f>
        <v>#N/A</v>
      </c>
      <c r="K89" s="718"/>
    </row>
    <row r="90" spans="2:11" hidden="1" x14ac:dyDescent="0.3">
      <c r="B90" s="881"/>
      <c r="C90" s="881"/>
      <c r="D90" s="881"/>
      <c r="E90" s="881"/>
      <c r="F90" s="881"/>
      <c r="G90" s="881"/>
      <c r="H90" s="881"/>
      <c r="I90" s="881"/>
      <c r="J90" s="881"/>
      <c r="K90" s="718"/>
    </row>
    <row r="91" spans="2:11" x14ac:dyDescent="0.3">
      <c r="B91" s="881"/>
      <c r="C91" s="881"/>
      <c r="D91" s="881"/>
      <c r="E91" s="881"/>
      <c r="F91" s="881"/>
      <c r="G91" s="881" t="s">
        <v>945</v>
      </c>
      <c r="H91" s="884" t="e">
        <f>H87-H80</f>
        <v>#N/A</v>
      </c>
      <c r="I91" s="881"/>
      <c r="J91" s="884" t="e">
        <f>J87-J80</f>
        <v>#N/A</v>
      </c>
      <c r="K91" s="718"/>
    </row>
    <row r="92" spans="2:11" hidden="1" x14ac:dyDescent="0.3">
      <c r="B92" s="881"/>
      <c r="C92" s="881"/>
      <c r="D92" s="881"/>
      <c r="E92" s="881"/>
      <c r="F92" s="881"/>
      <c r="G92" s="881"/>
      <c r="H92" s="881"/>
      <c r="I92" s="881"/>
      <c r="J92" s="881"/>
      <c r="K92" s="718"/>
    </row>
    <row r="93" spans="2:11" x14ac:dyDescent="0.3">
      <c r="B93" s="881"/>
      <c r="C93" s="881"/>
      <c r="D93" s="881"/>
      <c r="E93" s="881"/>
      <c r="F93" s="881"/>
      <c r="G93" s="881"/>
      <c r="H93" s="881"/>
      <c r="I93" s="881"/>
      <c r="J93" s="881"/>
      <c r="K93" s="718"/>
    </row>
    <row r="94" spans="2:11" x14ac:dyDescent="0.3">
      <c r="B94" s="881"/>
      <c r="C94" s="881"/>
      <c r="D94" s="881"/>
      <c r="E94" s="881"/>
      <c r="F94" s="881"/>
      <c r="G94" s="881"/>
      <c r="H94" s="881"/>
      <c r="I94" s="881"/>
      <c r="J94" s="881"/>
      <c r="K94" s="718"/>
    </row>
    <row r="95" spans="2:11" x14ac:dyDescent="0.3">
      <c r="B95" s="881"/>
      <c r="C95" s="881"/>
      <c r="D95" s="881"/>
      <c r="E95" s="881"/>
      <c r="F95" s="881"/>
      <c r="G95" s="881"/>
      <c r="H95" s="881"/>
      <c r="I95" s="881"/>
      <c r="J95" s="881"/>
      <c r="K95" s="718"/>
    </row>
    <row r="96" spans="2:11" x14ac:dyDescent="0.3">
      <c r="K96" s="718"/>
    </row>
    <row r="97" spans="11:11" x14ac:dyDescent="0.3">
      <c r="K97" s="718"/>
    </row>
    <row r="98" spans="11:11" x14ac:dyDescent="0.3">
      <c r="K98" s="718"/>
    </row>
    <row r="99" spans="11:11" x14ac:dyDescent="0.3">
      <c r="K99" s="718"/>
    </row>
    <row r="100" spans="11:11" x14ac:dyDescent="0.3">
      <c r="K100" s="718"/>
    </row>
    <row r="101" spans="11:11" x14ac:dyDescent="0.3">
      <c r="K101" s="718"/>
    </row>
    <row r="102" spans="11:11" x14ac:dyDescent="0.3">
      <c r="K102" s="718"/>
    </row>
    <row r="103" spans="11:11" x14ac:dyDescent="0.3">
      <c r="K103" s="718"/>
    </row>
    <row r="104" spans="11:11" x14ac:dyDescent="0.3">
      <c r="K104" s="718"/>
    </row>
  </sheetData>
  <sheetProtection algorithmName="SHA-512" hashValue="NJQMnrSrbMVyTDGmG0D//w+upFaPBFed/2ZoXcgsuyH40BmL8lMIRJGL7Zk7MxCfiQ7BqiPRyK4hEJC8qcvLSw==" saltValue="NZMqkHJXKr5lwqZXI/GHoA==" spinCount="100000" sheet="1" objects="1" scenarios="1"/>
  <protectedRanges>
    <protectedRange sqref="I2" name="Range1"/>
  </protectedRanges>
  <mergeCells count="21">
    <mergeCell ref="B67:J67"/>
    <mergeCell ref="H68:J68"/>
    <mergeCell ref="B7:J7"/>
    <mergeCell ref="B8:G8"/>
    <mergeCell ref="B16:J16"/>
    <mergeCell ref="B17:G17"/>
    <mergeCell ref="B35:J35"/>
    <mergeCell ref="B36:G36"/>
    <mergeCell ref="B24:J24"/>
    <mergeCell ref="B25:G25"/>
    <mergeCell ref="B55:J55"/>
    <mergeCell ref="B57:J57"/>
    <mergeCell ref="B59:J59"/>
    <mergeCell ref="B61:J61"/>
    <mergeCell ref="B63:J63"/>
    <mergeCell ref="B65:J65"/>
    <mergeCell ref="B1:I1"/>
    <mergeCell ref="B2:H2"/>
    <mergeCell ref="I2:J2"/>
    <mergeCell ref="B4:J4"/>
    <mergeCell ref="B6:J6"/>
  </mergeCells>
  <pageMargins left="0.70866141732283472" right="0.70866141732283472" top="0.74803149606299213" bottom="0.74803149606299213" header="0.31496062992125984" footer="0.31496062992125984"/>
  <pageSetup paperSize="9" scale="61"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D2E3-6B51-4E85-8787-59686814F236}">
  <dimension ref="A1:BS248"/>
  <sheetViews>
    <sheetView topLeftCell="A192" zoomScale="85" zoomScaleNormal="85" workbookViewId="0">
      <selection activeCell="G217" sqref="G217"/>
    </sheetView>
  </sheetViews>
  <sheetFormatPr defaultColWidth="8.7265625" defaultRowHeight="14.5" outlineLevelCol="1" x14ac:dyDescent="0.35"/>
  <cols>
    <col min="1" max="1" width="8.7265625" style="580"/>
    <col min="2" max="2" width="11.26953125" style="580" bestFit="1" customWidth="1"/>
    <col min="3" max="3" width="27.453125" style="580" customWidth="1"/>
    <col min="4" max="4" width="23.453125" style="580" customWidth="1"/>
    <col min="5" max="5" width="17.1796875" style="580" customWidth="1"/>
    <col min="6" max="6" width="18" style="580" customWidth="1"/>
    <col min="7" max="7" width="18.7265625" style="580" customWidth="1"/>
    <col min="8" max="8" width="16.81640625" style="580" customWidth="1"/>
    <col min="9" max="9" width="12.54296875" style="580" customWidth="1"/>
    <col min="10" max="10" width="15.81640625" style="580" customWidth="1"/>
    <col min="11" max="11" width="13.54296875" style="580" customWidth="1"/>
    <col min="12" max="12" width="13.81640625" style="581" customWidth="1"/>
    <col min="13" max="13" width="13.7265625" style="581" customWidth="1"/>
    <col min="14" max="14" width="8.7265625" style="580" customWidth="1"/>
    <col min="15" max="15" width="10.7265625" style="581" customWidth="1"/>
    <col min="16" max="25" width="10.7265625" style="594" customWidth="1" outlineLevel="1"/>
    <col min="26" max="26" width="11.54296875" style="580" customWidth="1"/>
    <col min="27" max="27" width="11.54296875" style="583" customWidth="1"/>
    <col min="28" max="28" width="20.54296875" style="580" customWidth="1"/>
    <col min="29" max="29" width="16.1796875" style="596" customWidth="1" outlineLevel="1"/>
    <col min="30" max="31" width="10.81640625" style="596" customWidth="1" outlineLevel="1"/>
    <col min="32" max="32" width="14.1796875" style="596" customWidth="1" outlineLevel="1"/>
    <col min="33" max="33" width="14.1796875" style="580" customWidth="1"/>
    <col min="34" max="34" width="10.1796875" style="580" customWidth="1"/>
    <col min="35" max="36" width="10.1796875" style="596" customWidth="1" outlineLevel="1"/>
    <col min="37" max="37" width="14.1796875" style="596" customWidth="1" outlineLevel="1"/>
    <col min="38" max="38" width="11.54296875" style="596" customWidth="1" outlineLevel="1"/>
    <col min="39" max="39" width="8.54296875" style="596" customWidth="1" outlineLevel="1"/>
    <col min="40" max="41" width="16.54296875" style="596" customWidth="1" outlineLevel="1"/>
    <col min="42" max="42" width="10.81640625" style="580" customWidth="1"/>
    <col min="43" max="43" width="20.453125" style="596" customWidth="1" outlineLevel="1"/>
    <col min="44" max="44" width="15.81640625" style="596" customWidth="1" outlineLevel="1"/>
    <col min="45" max="46" width="10.81640625" style="596" customWidth="1" outlineLevel="1"/>
    <col min="47" max="47" width="16.1796875" style="581" customWidth="1"/>
    <col min="48" max="48" width="19.453125" style="594" customWidth="1" outlineLevel="1"/>
    <col min="49" max="49" width="15.7265625" style="594" customWidth="1" outlineLevel="1"/>
    <col min="50" max="50" width="11" style="594" customWidth="1" outlineLevel="1"/>
    <col min="51" max="51" width="15.1796875" style="580" customWidth="1"/>
    <col min="52" max="53" width="21.81640625" style="596" customWidth="1" outlineLevel="1"/>
    <col min="54" max="54" width="15.7265625" style="580" customWidth="1"/>
    <col min="55" max="55" width="19" style="599" customWidth="1" outlineLevel="1"/>
    <col min="56" max="57" width="13.54296875" style="599" customWidth="1" outlineLevel="1"/>
    <col min="58" max="58" width="11.81640625" style="599" customWidth="1" outlineLevel="1"/>
    <col min="59" max="59" width="18.26953125" style="600" customWidth="1" outlineLevel="1"/>
    <col min="60" max="60" width="15.453125" style="599" customWidth="1" outlineLevel="1"/>
    <col min="61" max="61" width="13.453125" style="580" customWidth="1" outlineLevel="1"/>
    <col min="62" max="62" width="18.26953125" style="599" customWidth="1" outlineLevel="1"/>
    <col min="63" max="63" width="13.54296875" style="599" customWidth="1" outlineLevel="1"/>
    <col min="64" max="64" width="12.1796875" style="599" customWidth="1" outlineLevel="1"/>
    <col min="65" max="65" width="8.7265625" style="599" customWidth="1" outlineLevel="1"/>
    <col min="66" max="67" width="19.54296875" style="580" customWidth="1" outlineLevel="1"/>
    <col min="68" max="68" width="16.54296875" style="580" customWidth="1" outlineLevel="1"/>
    <col min="69" max="69" width="18.54296875" style="580" customWidth="1" outlineLevel="1"/>
    <col min="70" max="70" width="19.453125" style="580" customWidth="1" outlineLevel="1"/>
    <col min="71" max="71" width="18.453125" style="580" customWidth="1" outlineLevel="1"/>
    <col min="72" max="16384" width="8.7265625" style="580"/>
  </cols>
  <sheetData>
    <row r="1" spans="1:71" x14ac:dyDescent="0.35">
      <c r="P1" s="932"/>
      <c r="Q1" s="932"/>
      <c r="R1" s="932"/>
      <c r="S1" s="932"/>
      <c r="T1" s="932"/>
      <c r="U1" s="932"/>
      <c r="V1" s="932"/>
      <c r="W1" s="932"/>
      <c r="X1" s="932"/>
      <c r="Y1" s="932"/>
      <c r="Z1" s="582"/>
      <c r="AB1" s="582"/>
      <c r="AC1" s="933" t="s">
        <v>416</v>
      </c>
      <c r="AD1" s="933"/>
      <c r="AE1" s="933"/>
      <c r="AF1" s="933"/>
      <c r="AG1" s="584"/>
      <c r="AH1" s="584"/>
      <c r="AI1" s="933" t="s">
        <v>417</v>
      </c>
      <c r="AJ1" s="933"/>
      <c r="AK1" s="933"/>
      <c r="AL1" s="933"/>
      <c r="AM1" s="933"/>
      <c r="AN1" s="933"/>
      <c r="AO1" s="933"/>
      <c r="AQ1" s="933" t="s">
        <v>418</v>
      </c>
      <c r="AR1" s="933"/>
      <c r="AS1" s="933"/>
      <c r="AT1" s="933"/>
      <c r="AV1" s="932" t="s">
        <v>419</v>
      </c>
      <c r="AW1" s="932"/>
      <c r="AX1" s="932"/>
      <c r="AZ1" s="933" t="s">
        <v>420</v>
      </c>
      <c r="BA1" s="933"/>
      <c r="BC1" s="931" t="s">
        <v>421</v>
      </c>
      <c r="BD1" s="931"/>
      <c r="BE1" s="931"/>
      <c r="BF1" s="931"/>
      <c r="BG1" s="931"/>
      <c r="BH1" s="931"/>
      <c r="BI1" s="931"/>
      <c r="BJ1" s="931"/>
      <c r="BK1" s="931"/>
      <c r="BL1" s="931"/>
      <c r="BM1" s="931"/>
      <c r="BN1" s="931"/>
      <c r="BO1" s="931"/>
      <c r="BP1" s="931"/>
      <c r="BQ1" s="931"/>
      <c r="BR1" s="931"/>
      <c r="BS1" s="931"/>
    </row>
    <row r="2" spans="1:71" ht="34" customHeight="1" x14ac:dyDescent="0.35">
      <c r="A2" s="585" t="s">
        <v>422</v>
      </c>
      <c r="B2" s="586" t="s">
        <v>423</v>
      </c>
      <c r="C2" s="586" t="s">
        <v>424</v>
      </c>
      <c r="D2" s="586" t="s">
        <v>425</v>
      </c>
      <c r="E2" s="586" t="s">
        <v>426</v>
      </c>
      <c r="F2" s="586" t="s">
        <v>427</v>
      </c>
      <c r="G2" s="586" t="s">
        <v>428</v>
      </c>
      <c r="H2" s="586" t="s">
        <v>429</v>
      </c>
      <c r="I2" s="586" t="s">
        <v>430</v>
      </c>
      <c r="J2" s="586" t="s">
        <v>431</v>
      </c>
      <c r="K2" s="586" t="s">
        <v>432</v>
      </c>
      <c r="L2" s="587" t="s">
        <v>433</v>
      </c>
      <c r="M2" s="587" t="s">
        <v>434</v>
      </c>
      <c r="N2" s="586" t="s">
        <v>435</v>
      </c>
      <c r="O2" s="587" t="s">
        <v>436</v>
      </c>
      <c r="P2" s="588" t="s">
        <v>437</v>
      </c>
      <c r="Q2" s="588" t="s">
        <v>438</v>
      </c>
      <c r="R2" s="588" t="s">
        <v>439</v>
      </c>
      <c r="S2" s="588" t="s">
        <v>440</v>
      </c>
      <c r="T2" s="588" t="s">
        <v>441</v>
      </c>
      <c r="U2" s="588" t="s">
        <v>442</v>
      </c>
      <c r="V2" s="588" t="s">
        <v>443</v>
      </c>
      <c r="W2" s="588" t="s">
        <v>444</v>
      </c>
      <c r="X2" s="588" t="s">
        <v>445</v>
      </c>
      <c r="Y2" s="588" t="s">
        <v>446</v>
      </c>
      <c r="Z2" s="586" t="s">
        <v>447</v>
      </c>
      <c r="AA2" s="589" t="s">
        <v>448</v>
      </c>
      <c r="AB2" s="586" t="s">
        <v>449</v>
      </c>
      <c r="AC2" s="590" t="s">
        <v>450</v>
      </c>
      <c r="AD2" s="590" t="s">
        <v>451</v>
      </c>
      <c r="AE2" s="590" t="s">
        <v>452</v>
      </c>
      <c r="AF2" s="590" t="s">
        <v>453</v>
      </c>
      <c r="AG2" s="586" t="s">
        <v>454</v>
      </c>
      <c r="AH2" s="586" t="s">
        <v>455</v>
      </c>
      <c r="AI2" s="590" t="s">
        <v>456</v>
      </c>
      <c r="AJ2" s="590" t="s">
        <v>457</v>
      </c>
      <c r="AK2" s="590" t="s">
        <v>458</v>
      </c>
      <c r="AL2" s="590" t="s">
        <v>459</v>
      </c>
      <c r="AM2" s="590" t="s">
        <v>460</v>
      </c>
      <c r="AN2" s="590" t="s">
        <v>461</v>
      </c>
      <c r="AO2" s="590" t="s">
        <v>462</v>
      </c>
      <c r="AP2" s="586" t="s">
        <v>417</v>
      </c>
      <c r="AQ2" s="590" t="s">
        <v>463</v>
      </c>
      <c r="AR2" s="590" t="s">
        <v>464</v>
      </c>
      <c r="AS2" s="590" t="s">
        <v>465</v>
      </c>
      <c r="AT2" s="590" t="s">
        <v>466</v>
      </c>
      <c r="AU2" s="587" t="s">
        <v>418</v>
      </c>
      <c r="AV2" s="588" t="s">
        <v>467</v>
      </c>
      <c r="AW2" s="588" t="s">
        <v>468</v>
      </c>
      <c r="AX2" s="588" t="s">
        <v>469</v>
      </c>
      <c r="AY2" s="586" t="s">
        <v>419</v>
      </c>
      <c r="AZ2" s="590" t="s">
        <v>470</v>
      </c>
      <c r="BA2" s="590" t="s">
        <v>471</v>
      </c>
      <c r="BB2" s="586" t="s">
        <v>420</v>
      </c>
      <c r="BC2" s="591" t="s">
        <v>472</v>
      </c>
      <c r="BD2" s="591" t="s">
        <v>473</v>
      </c>
      <c r="BE2" s="591" t="s">
        <v>474</v>
      </c>
      <c r="BF2" s="591" t="s">
        <v>475</v>
      </c>
      <c r="BG2" s="592" t="s">
        <v>476</v>
      </c>
      <c r="BH2" s="591" t="s">
        <v>477</v>
      </c>
      <c r="BI2" s="591" t="s">
        <v>478</v>
      </c>
      <c r="BJ2" s="591" t="s">
        <v>479</v>
      </c>
      <c r="BK2" s="591" t="s">
        <v>480</v>
      </c>
      <c r="BL2" s="591" t="s">
        <v>481</v>
      </c>
      <c r="BM2" s="591" t="s">
        <v>482</v>
      </c>
      <c r="BN2" s="591" t="s">
        <v>483</v>
      </c>
      <c r="BO2" s="591" t="s">
        <v>484</v>
      </c>
      <c r="BP2" s="591" t="s">
        <v>485</v>
      </c>
      <c r="BQ2" s="591" t="s">
        <v>486</v>
      </c>
      <c r="BR2" s="591" t="s">
        <v>487</v>
      </c>
      <c r="BS2" s="591" t="s">
        <v>488</v>
      </c>
    </row>
    <row r="3" spans="1:71" ht="29" hidden="1" x14ac:dyDescent="0.35">
      <c r="A3" s="580">
        <v>925</v>
      </c>
      <c r="B3" s="580" t="s">
        <v>489</v>
      </c>
      <c r="C3" s="593" t="s">
        <v>490</v>
      </c>
      <c r="D3" s="593" t="s">
        <v>491</v>
      </c>
      <c r="E3" s="580">
        <v>3</v>
      </c>
      <c r="F3" s="580">
        <v>7.4</v>
      </c>
      <c r="G3" s="580" t="s">
        <v>492</v>
      </c>
      <c r="H3" s="580">
        <v>33.299999999999997</v>
      </c>
      <c r="I3" s="580">
        <v>33.299999999999997</v>
      </c>
      <c r="J3" s="580">
        <v>0</v>
      </c>
      <c r="K3" s="580">
        <v>0</v>
      </c>
      <c r="L3" s="581">
        <v>1025000</v>
      </c>
      <c r="M3" s="581">
        <v>1022000</v>
      </c>
      <c r="N3" s="582">
        <f>Table35[[#This Row],[Total Income]]-Table35[[#This Row],[Total Expenditure]]</f>
        <v>3000</v>
      </c>
      <c r="O3" s="581">
        <v>60000</v>
      </c>
      <c r="P3" s="594">
        <v>0</v>
      </c>
      <c r="Q3" s="594">
        <v>0</v>
      </c>
      <c r="R3" s="594">
        <v>0</v>
      </c>
      <c r="S3" s="594">
        <v>0</v>
      </c>
      <c r="T3" s="594">
        <v>0</v>
      </c>
      <c r="U3" s="594">
        <v>0</v>
      </c>
      <c r="V3" s="594">
        <v>0</v>
      </c>
      <c r="W3" s="594">
        <v>0</v>
      </c>
      <c r="X3" s="594">
        <v>0</v>
      </c>
      <c r="Y3" s="594">
        <v>0</v>
      </c>
      <c r="Z3" s="581">
        <v>835000</v>
      </c>
      <c r="AA3" s="595">
        <f>M3-Z3-Table35[[#This Row],[Maintenance &amp; Improvement]]-Table35[[#This Row],[Cleaning &amp; Caretaking]]-Table35[[#This Row],[Catering Supply]]</f>
        <v>131000</v>
      </c>
      <c r="AB3" s="581">
        <v>22000</v>
      </c>
      <c r="AC3" s="594">
        <v>22000</v>
      </c>
      <c r="AD3" s="594">
        <v>18000</v>
      </c>
      <c r="AE3" s="594">
        <v>0</v>
      </c>
      <c r="AF3" s="594">
        <v>0</v>
      </c>
      <c r="AG3" s="581">
        <v>40000</v>
      </c>
      <c r="AH3" s="581">
        <v>16000</v>
      </c>
      <c r="AI3" s="596">
        <v>0</v>
      </c>
      <c r="AJ3" s="594">
        <v>16000</v>
      </c>
      <c r="AK3" s="594">
        <v>1000</v>
      </c>
      <c r="AL3" s="594">
        <v>0</v>
      </c>
      <c r="AM3" s="594">
        <v>29000</v>
      </c>
      <c r="AN3" s="594">
        <v>1000</v>
      </c>
      <c r="AO3" s="594">
        <v>9000</v>
      </c>
      <c r="AP3" s="581">
        <v>56000</v>
      </c>
      <c r="AQ3" s="594">
        <v>22000</v>
      </c>
      <c r="AR3" s="594">
        <v>6000</v>
      </c>
      <c r="AS3" s="594">
        <v>5000</v>
      </c>
      <c r="AT3" s="594">
        <v>36000</v>
      </c>
      <c r="AU3" s="581">
        <v>91000</v>
      </c>
      <c r="AV3" s="594">
        <v>22000</v>
      </c>
      <c r="AW3" s="594">
        <v>6000</v>
      </c>
      <c r="AX3" s="594">
        <v>5000</v>
      </c>
      <c r="AY3" s="581">
        <v>33000</v>
      </c>
      <c r="AZ3" s="594">
        <v>1000</v>
      </c>
      <c r="BA3" s="594">
        <v>21000</v>
      </c>
      <c r="BB3" s="581">
        <v>22000</v>
      </c>
      <c r="BC3" s="597">
        <f>Table35[[#This Row],[Total Expenditure]]/Table35[[#This Row],[Number of pupils (FTE)]]</f>
        <v>340666.66666666669</v>
      </c>
      <c r="BD3" s="598">
        <f>Table35[[#This Row],[Total Staff Costs]]/Table35[[#This Row],[Number of pupils (FTE)]]</f>
        <v>278333.33333333331</v>
      </c>
      <c r="BE3" s="598">
        <f>Table35[[#This Row],[Teaching staff]]/Table35[[#This Row],[Number of teachers in academy (FTE)]]</f>
        <v>0</v>
      </c>
      <c r="BF3" s="599">
        <f>Table35[[#This Row],[Number of pupils (FTE)]]/Table35[[#This Row],[Number of teachers in academy (FTE)]]</f>
        <v>0.40540540540540537</v>
      </c>
      <c r="BG3" s="600">
        <f t="shared" ref="BG3:BG66" si="0">AA3/E3</f>
        <v>43666.666666666664</v>
      </c>
      <c r="BH3" s="598">
        <f>Table35[[#This Row],[Premises Costs]]/Table35[[#This Row],[Number of pupils (FTE)]]</f>
        <v>13333.333333333334</v>
      </c>
      <c r="BI3" s="598">
        <f>Table35[[#This Row],[Maintenance &amp; Improvement Costs]]/Table35[[#This Row],[Number of pupils (FTE)]]</f>
        <v>7333.333333333333</v>
      </c>
      <c r="BJ3" s="598" t="e">
        <f>#REF!/E3</f>
        <v>#REF!</v>
      </c>
      <c r="BK3" s="598">
        <f t="shared" ref="BK3:BK66" si="1">AK3/E3</f>
        <v>333.33333333333331</v>
      </c>
      <c r="BL3" s="598">
        <f t="shared" ref="BL3:BL66" si="2">AL3/E3</f>
        <v>0</v>
      </c>
      <c r="BM3" s="598">
        <f t="shared" ref="BM3:BM66" si="3">AM3/E3</f>
        <v>9666.6666666666661</v>
      </c>
      <c r="BN3" s="598">
        <f t="shared" ref="BN3:BN66" si="4">AQ3/E3</f>
        <v>7333.333333333333</v>
      </c>
      <c r="BO3" s="598">
        <f t="shared" ref="BO3:BO66" si="5">AR3/E3</f>
        <v>2000</v>
      </c>
      <c r="BP3" s="598">
        <f t="shared" ref="BP3:BP66" si="6">AT3/E3</f>
        <v>12000</v>
      </c>
      <c r="BQ3" s="598">
        <f t="shared" ref="BQ3:BQ66" si="7">AU3/E3</f>
        <v>30333.333333333332</v>
      </c>
      <c r="BR3" s="598">
        <f t="shared" ref="BR3:BR66" si="8">AY3/E3</f>
        <v>11000</v>
      </c>
      <c r="BS3" s="598">
        <f t="shared" ref="BS3:BS66" si="9">BB3/E3</f>
        <v>7333.333333333333</v>
      </c>
    </row>
    <row r="4" spans="1:71" ht="29" hidden="1" x14ac:dyDescent="0.35">
      <c r="A4" s="580">
        <v>925</v>
      </c>
      <c r="B4" s="580" t="s">
        <v>489</v>
      </c>
      <c r="C4" s="593" t="s">
        <v>493</v>
      </c>
      <c r="D4" s="593" t="s">
        <v>494</v>
      </c>
      <c r="E4" s="580">
        <v>47</v>
      </c>
      <c r="F4" s="580">
        <v>7.86</v>
      </c>
      <c r="G4" s="580" t="s">
        <v>492</v>
      </c>
      <c r="H4" s="580">
        <v>55.3</v>
      </c>
      <c r="I4" s="580">
        <v>12.8</v>
      </c>
      <c r="J4" s="580">
        <v>87.2</v>
      </c>
      <c r="K4" s="580">
        <v>0</v>
      </c>
      <c r="L4" s="581">
        <v>1676000</v>
      </c>
      <c r="M4" s="581">
        <v>1624000</v>
      </c>
      <c r="N4" s="582">
        <f>Table35[[#This Row],[Total Income]]-Table35[[#This Row],[Total Expenditure]]</f>
        <v>52000</v>
      </c>
      <c r="O4" s="581">
        <v>409000</v>
      </c>
      <c r="P4" s="594">
        <v>1826000</v>
      </c>
      <c r="Q4" s="594">
        <v>0</v>
      </c>
      <c r="R4" s="594">
        <v>1742000</v>
      </c>
      <c r="S4" s="594">
        <v>210000</v>
      </c>
      <c r="T4" s="594">
        <v>88000</v>
      </c>
      <c r="U4" s="594">
        <v>8000</v>
      </c>
      <c r="V4" s="594">
        <v>10000</v>
      </c>
      <c r="W4" s="594">
        <v>0</v>
      </c>
      <c r="X4" s="594">
        <v>0</v>
      </c>
      <c r="Y4" s="594">
        <v>30000</v>
      </c>
      <c r="Z4" s="581">
        <v>1295000</v>
      </c>
      <c r="AA4" s="595">
        <f>M4-Z4-Table35[[#This Row],[Maintenance &amp; Improvement]]-Table35[[#This Row],[Cleaning &amp; Caretaking]]-Table35[[#This Row],[Catering Supply]]</f>
        <v>213000</v>
      </c>
      <c r="AB4" s="581">
        <v>41000</v>
      </c>
      <c r="AC4" s="594">
        <v>41000</v>
      </c>
      <c r="AD4" s="594">
        <v>32000</v>
      </c>
      <c r="AE4" s="594">
        <v>10000</v>
      </c>
      <c r="AF4" s="594">
        <v>0</v>
      </c>
      <c r="AG4" s="581">
        <v>83000</v>
      </c>
      <c r="AH4" s="581">
        <v>50000</v>
      </c>
      <c r="AI4" s="596">
        <v>7000</v>
      </c>
      <c r="AJ4" s="594">
        <v>43000</v>
      </c>
      <c r="AK4" s="594">
        <v>0</v>
      </c>
      <c r="AL4" s="594">
        <v>8000</v>
      </c>
      <c r="AM4" s="594">
        <v>29000</v>
      </c>
      <c r="AN4" s="594">
        <v>3000</v>
      </c>
      <c r="AO4" s="594">
        <v>24000</v>
      </c>
      <c r="AP4" s="581">
        <v>114000</v>
      </c>
      <c r="AQ4" s="594">
        <v>41000</v>
      </c>
      <c r="AR4" s="594">
        <v>20000</v>
      </c>
      <c r="AS4" s="594">
        <v>7000</v>
      </c>
      <c r="AT4" s="594">
        <v>57000</v>
      </c>
      <c r="AU4" s="581">
        <v>132000</v>
      </c>
      <c r="AV4" s="594">
        <v>41000</v>
      </c>
      <c r="AW4" s="594">
        <v>20000</v>
      </c>
      <c r="AX4" s="594">
        <v>7000</v>
      </c>
      <c r="AY4" s="581">
        <v>68000</v>
      </c>
      <c r="AZ4" s="594">
        <v>4000</v>
      </c>
      <c r="BA4" s="594">
        <v>3000</v>
      </c>
      <c r="BB4" s="581">
        <v>7000</v>
      </c>
      <c r="BC4" s="597">
        <f>Table35[[#This Row],[Total Expenditure]]/Table35[[#This Row],[Number of pupils (FTE)]]</f>
        <v>34553.191489361699</v>
      </c>
      <c r="BD4" s="598">
        <f>Table35[[#This Row],[Total Staff Costs]]/Table35[[#This Row],[Number of pupils (FTE)]]</f>
        <v>27553.191489361703</v>
      </c>
      <c r="BE4" s="598">
        <f>Table35[[#This Row],[Teaching staff]]/Table35[[#This Row],[Number of teachers in academy (FTE)]]</f>
        <v>232315.52162849871</v>
      </c>
      <c r="BF4" s="599">
        <f>Table35[[#This Row],[Number of pupils (FTE)]]/Table35[[#This Row],[Number of teachers in academy (FTE)]]</f>
        <v>5.9796437659033073</v>
      </c>
      <c r="BG4" s="600">
        <f t="shared" si="0"/>
        <v>4531.9148936170213</v>
      </c>
      <c r="BH4" s="598">
        <f>Table35[[#This Row],[Premises Costs]]/Table35[[#This Row],[Number of pupils (FTE)]]</f>
        <v>1765.9574468085107</v>
      </c>
      <c r="BI4" s="598">
        <f>Table35[[#This Row],[Maintenance &amp; Improvement Costs]]/Table35[[#This Row],[Number of pupils (FTE)]]</f>
        <v>872.34042553191489</v>
      </c>
      <c r="BJ4" s="598" t="e">
        <f>#REF!/E4</f>
        <v>#REF!</v>
      </c>
      <c r="BK4" s="598">
        <f t="shared" si="1"/>
        <v>0</v>
      </c>
      <c r="BL4" s="598">
        <f t="shared" si="2"/>
        <v>170.21276595744681</v>
      </c>
      <c r="BM4" s="598">
        <f t="shared" si="3"/>
        <v>617.02127659574467</v>
      </c>
      <c r="BN4" s="598">
        <f t="shared" si="4"/>
        <v>872.34042553191489</v>
      </c>
      <c r="BO4" s="598">
        <f t="shared" si="5"/>
        <v>425.531914893617</v>
      </c>
      <c r="BP4" s="598">
        <f t="shared" si="6"/>
        <v>1212.7659574468084</v>
      </c>
      <c r="BQ4" s="598">
        <f t="shared" si="7"/>
        <v>2808.5106382978724</v>
      </c>
      <c r="BR4" s="598">
        <f t="shared" si="8"/>
        <v>1446.8085106382978</v>
      </c>
      <c r="BS4" s="598">
        <f t="shared" si="9"/>
        <v>148.93617021276594</v>
      </c>
    </row>
    <row r="5" spans="1:71" ht="29" hidden="1" x14ac:dyDescent="0.35">
      <c r="A5" s="580">
        <v>925</v>
      </c>
      <c r="B5" s="580" t="s">
        <v>489</v>
      </c>
      <c r="C5" s="593" t="s">
        <v>495</v>
      </c>
      <c r="D5" s="593" t="s">
        <v>494</v>
      </c>
      <c r="E5" s="580">
        <v>48</v>
      </c>
      <c r="F5" s="580">
        <v>10.35</v>
      </c>
      <c r="G5" s="580" t="s">
        <v>492</v>
      </c>
      <c r="H5" s="580">
        <v>72.900000000000006</v>
      </c>
      <c r="I5" s="580">
        <v>20.8</v>
      </c>
      <c r="J5" s="580">
        <v>79.2</v>
      </c>
      <c r="K5" s="580">
        <v>0</v>
      </c>
      <c r="L5" s="581">
        <v>1676000</v>
      </c>
      <c r="M5" s="581">
        <v>1624000</v>
      </c>
      <c r="N5" s="582">
        <f>Table35[[#This Row],[Total Income]]-Table35[[#This Row],[Total Expenditure]]</f>
        <v>52000</v>
      </c>
      <c r="O5" s="581">
        <v>409000</v>
      </c>
      <c r="P5" s="594">
        <v>1108000</v>
      </c>
      <c r="Q5" s="594">
        <v>0</v>
      </c>
      <c r="R5" s="594">
        <v>552000</v>
      </c>
      <c r="S5" s="594">
        <v>145000</v>
      </c>
      <c r="T5" s="594">
        <v>14000</v>
      </c>
      <c r="U5" s="594">
        <v>3000</v>
      </c>
      <c r="V5" s="594">
        <v>10000</v>
      </c>
      <c r="W5" s="594">
        <v>0</v>
      </c>
      <c r="X5" s="594">
        <v>7000</v>
      </c>
      <c r="Y5" s="594">
        <v>0</v>
      </c>
      <c r="Z5" s="581">
        <v>1295000</v>
      </c>
      <c r="AA5" s="595">
        <f>M5-Z5-Table35[[#This Row],[Maintenance &amp; Improvement]]-Table35[[#This Row],[Cleaning &amp; Caretaking]]-Table35[[#This Row],[Catering Supply]]</f>
        <v>213000</v>
      </c>
      <c r="AB5" s="581">
        <v>41000</v>
      </c>
      <c r="AC5" s="594">
        <v>41000</v>
      </c>
      <c r="AD5" s="594">
        <v>32000</v>
      </c>
      <c r="AE5" s="594">
        <v>10000</v>
      </c>
      <c r="AF5" s="594">
        <v>0</v>
      </c>
      <c r="AG5" s="581">
        <v>83000</v>
      </c>
      <c r="AH5" s="581">
        <v>50000</v>
      </c>
      <c r="AI5" s="596">
        <v>7000</v>
      </c>
      <c r="AJ5" s="594">
        <v>43000</v>
      </c>
      <c r="AK5" s="594">
        <v>0</v>
      </c>
      <c r="AL5" s="594">
        <v>8000</v>
      </c>
      <c r="AM5" s="594">
        <v>29000</v>
      </c>
      <c r="AN5" s="594">
        <v>3000</v>
      </c>
      <c r="AO5" s="594">
        <v>24000</v>
      </c>
      <c r="AP5" s="581">
        <v>114000</v>
      </c>
      <c r="AQ5" s="594">
        <v>41000</v>
      </c>
      <c r="AR5" s="594">
        <v>20000</v>
      </c>
      <c r="AS5" s="594">
        <v>7000</v>
      </c>
      <c r="AT5" s="594">
        <v>57000</v>
      </c>
      <c r="AU5" s="581">
        <v>132000</v>
      </c>
      <c r="AV5" s="594">
        <v>41000</v>
      </c>
      <c r="AW5" s="594">
        <v>20000</v>
      </c>
      <c r="AX5" s="594">
        <v>7000</v>
      </c>
      <c r="AY5" s="581">
        <v>68000</v>
      </c>
      <c r="AZ5" s="594">
        <v>4000</v>
      </c>
      <c r="BA5" s="594">
        <v>3000</v>
      </c>
      <c r="BB5" s="581">
        <v>7000</v>
      </c>
      <c r="BC5" s="597">
        <f>Table35[[#This Row],[Total Expenditure]]/Table35[[#This Row],[Number of pupils (FTE)]]</f>
        <v>33833.333333333336</v>
      </c>
      <c r="BD5" s="598">
        <f>Table35[[#This Row],[Total Staff Costs]]/Table35[[#This Row],[Number of pupils (FTE)]]</f>
        <v>26979.166666666668</v>
      </c>
      <c r="BE5" s="598">
        <f>Table35[[#This Row],[Teaching staff]]/Table35[[#This Row],[Number of teachers in academy (FTE)]]</f>
        <v>107053.14009661836</v>
      </c>
      <c r="BF5" s="599">
        <f>Table35[[#This Row],[Number of pupils (FTE)]]/Table35[[#This Row],[Number of teachers in academy (FTE)]]</f>
        <v>4.63768115942029</v>
      </c>
      <c r="BG5" s="600">
        <f t="shared" si="0"/>
        <v>4437.5</v>
      </c>
      <c r="BH5" s="598">
        <f>Table35[[#This Row],[Premises Costs]]/Table35[[#This Row],[Number of pupils (FTE)]]</f>
        <v>1729.1666666666667</v>
      </c>
      <c r="BI5" s="598">
        <f>Table35[[#This Row],[Maintenance &amp; Improvement Costs]]/Table35[[#This Row],[Number of pupils (FTE)]]</f>
        <v>854.16666666666663</v>
      </c>
      <c r="BJ5" s="598" t="e">
        <f>#REF!/E5</f>
        <v>#REF!</v>
      </c>
      <c r="BK5" s="598">
        <f t="shared" si="1"/>
        <v>0</v>
      </c>
      <c r="BL5" s="598">
        <f t="shared" si="2"/>
        <v>166.66666666666666</v>
      </c>
      <c r="BM5" s="598">
        <f t="shared" si="3"/>
        <v>604.16666666666663</v>
      </c>
      <c r="BN5" s="598">
        <f t="shared" si="4"/>
        <v>854.16666666666663</v>
      </c>
      <c r="BO5" s="598">
        <f t="shared" si="5"/>
        <v>416.66666666666669</v>
      </c>
      <c r="BP5" s="598">
        <f t="shared" si="6"/>
        <v>1187.5</v>
      </c>
      <c r="BQ5" s="598">
        <f t="shared" si="7"/>
        <v>2750</v>
      </c>
      <c r="BR5" s="598">
        <f t="shared" si="8"/>
        <v>1416.6666666666667</v>
      </c>
      <c r="BS5" s="598">
        <f t="shared" si="9"/>
        <v>145.83333333333334</v>
      </c>
    </row>
    <row r="6" spans="1:71" ht="29" hidden="1" x14ac:dyDescent="0.35">
      <c r="A6" s="580">
        <v>925</v>
      </c>
      <c r="B6" s="580" t="s">
        <v>489</v>
      </c>
      <c r="C6" s="593" t="s">
        <v>496</v>
      </c>
      <c r="D6" s="593" t="s">
        <v>494</v>
      </c>
      <c r="E6" s="580">
        <v>32</v>
      </c>
      <c r="F6" s="580">
        <v>4.9000000000000004</v>
      </c>
      <c r="G6" s="580" t="s">
        <v>492</v>
      </c>
      <c r="H6" s="580">
        <v>71.900000000000006</v>
      </c>
      <c r="I6" s="580">
        <v>15.6</v>
      </c>
      <c r="J6" s="580">
        <v>84.4</v>
      </c>
      <c r="K6" s="580">
        <v>0</v>
      </c>
      <c r="L6" s="581">
        <v>1678000</v>
      </c>
      <c r="M6" s="581">
        <v>1624000</v>
      </c>
      <c r="N6" s="582">
        <f>Table35[[#This Row],[Total Income]]-Table35[[#This Row],[Total Expenditure]]</f>
        <v>54000</v>
      </c>
      <c r="O6" s="581">
        <v>409000</v>
      </c>
      <c r="P6" s="594">
        <v>1451000</v>
      </c>
      <c r="Q6" s="594">
        <v>0</v>
      </c>
      <c r="R6" s="594">
        <v>1601000</v>
      </c>
      <c r="S6" s="594">
        <v>121000</v>
      </c>
      <c r="T6" s="594">
        <v>50000</v>
      </c>
      <c r="U6" s="594">
        <v>6000</v>
      </c>
      <c r="V6" s="594">
        <v>7000</v>
      </c>
      <c r="W6" s="594">
        <v>0</v>
      </c>
      <c r="X6" s="594">
        <v>0</v>
      </c>
      <c r="Y6" s="594">
        <v>20000</v>
      </c>
      <c r="Z6" s="581">
        <v>1295000</v>
      </c>
      <c r="AA6" s="595">
        <f>M6-Z6-Table35[[#This Row],[Maintenance &amp; Improvement]]-Table35[[#This Row],[Cleaning &amp; Caretaking]]-Table35[[#This Row],[Catering Supply]]</f>
        <v>213000</v>
      </c>
      <c r="AB6" s="581">
        <v>41000</v>
      </c>
      <c r="AC6" s="594">
        <v>41000</v>
      </c>
      <c r="AD6" s="594">
        <v>32000</v>
      </c>
      <c r="AE6" s="594">
        <v>10000</v>
      </c>
      <c r="AF6" s="594">
        <v>0</v>
      </c>
      <c r="AG6" s="581">
        <v>83000</v>
      </c>
      <c r="AH6" s="581">
        <v>50000</v>
      </c>
      <c r="AI6" s="596">
        <v>7000</v>
      </c>
      <c r="AJ6" s="594">
        <v>43000</v>
      </c>
      <c r="AK6" s="594">
        <v>0</v>
      </c>
      <c r="AL6" s="594">
        <v>8000</v>
      </c>
      <c r="AM6" s="594">
        <v>29000</v>
      </c>
      <c r="AN6" s="594">
        <v>3000</v>
      </c>
      <c r="AO6" s="594">
        <v>24000</v>
      </c>
      <c r="AP6" s="581">
        <v>114000</v>
      </c>
      <c r="AQ6" s="594">
        <v>41000</v>
      </c>
      <c r="AR6" s="594">
        <v>20000</v>
      </c>
      <c r="AS6" s="594">
        <v>7000</v>
      </c>
      <c r="AT6" s="594">
        <v>57000</v>
      </c>
      <c r="AU6" s="581">
        <v>132000</v>
      </c>
      <c r="AV6" s="594">
        <v>41000</v>
      </c>
      <c r="AW6" s="594">
        <v>20000</v>
      </c>
      <c r="AX6" s="594">
        <v>7000</v>
      </c>
      <c r="AY6" s="581">
        <v>68000</v>
      </c>
      <c r="AZ6" s="594">
        <v>4000</v>
      </c>
      <c r="BA6" s="594">
        <v>3000</v>
      </c>
      <c r="BB6" s="581">
        <v>7000</v>
      </c>
      <c r="BC6" s="597">
        <f>Table35[[#This Row],[Total Expenditure]]/Table35[[#This Row],[Number of pupils (FTE)]]</f>
        <v>50750</v>
      </c>
      <c r="BD6" s="598">
        <f>Table35[[#This Row],[Total Staff Costs]]/Table35[[#This Row],[Number of pupils (FTE)]]</f>
        <v>40468.75</v>
      </c>
      <c r="BE6" s="598">
        <f>Table35[[#This Row],[Teaching staff]]/Table35[[#This Row],[Number of teachers in academy (FTE)]]</f>
        <v>296122.44897959183</v>
      </c>
      <c r="BF6" s="599">
        <f>Table35[[#This Row],[Number of pupils (FTE)]]/Table35[[#This Row],[Number of teachers in academy (FTE)]]</f>
        <v>6.5306122448979584</v>
      </c>
      <c r="BG6" s="600">
        <f t="shared" si="0"/>
        <v>6656.25</v>
      </c>
      <c r="BH6" s="598">
        <f>Table35[[#This Row],[Premises Costs]]/Table35[[#This Row],[Number of pupils (FTE)]]</f>
        <v>2593.75</v>
      </c>
      <c r="BI6" s="598">
        <f>Table35[[#This Row],[Maintenance &amp; Improvement Costs]]/Table35[[#This Row],[Number of pupils (FTE)]]</f>
        <v>1281.25</v>
      </c>
      <c r="BJ6" s="598" t="e">
        <f>#REF!/E6</f>
        <v>#REF!</v>
      </c>
      <c r="BK6" s="598">
        <f t="shared" si="1"/>
        <v>0</v>
      </c>
      <c r="BL6" s="598">
        <f t="shared" si="2"/>
        <v>250</v>
      </c>
      <c r="BM6" s="598">
        <f t="shared" si="3"/>
        <v>906.25</v>
      </c>
      <c r="BN6" s="598">
        <f t="shared" si="4"/>
        <v>1281.25</v>
      </c>
      <c r="BO6" s="598">
        <f t="shared" si="5"/>
        <v>625</v>
      </c>
      <c r="BP6" s="598">
        <f t="shared" si="6"/>
        <v>1781.25</v>
      </c>
      <c r="BQ6" s="598">
        <f t="shared" si="7"/>
        <v>4125</v>
      </c>
      <c r="BR6" s="598">
        <f t="shared" si="8"/>
        <v>2125</v>
      </c>
      <c r="BS6" s="598">
        <f t="shared" si="9"/>
        <v>218.75</v>
      </c>
    </row>
    <row r="7" spans="1:71" ht="29" hidden="1" x14ac:dyDescent="0.35">
      <c r="A7" s="580">
        <v>925</v>
      </c>
      <c r="B7" s="580" t="s">
        <v>489</v>
      </c>
      <c r="C7" s="593" t="s">
        <v>497</v>
      </c>
      <c r="D7" s="593" t="s">
        <v>494</v>
      </c>
      <c r="E7" s="580">
        <v>49</v>
      </c>
      <c r="F7" s="580">
        <v>8.75</v>
      </c>
      <c r="G7" s="580" t="s">
        <v>492</v>
      </c>
      <c r="H7" s="580">
        <v>69.400000000000006</v>
      </c>
      <c r="I7" s="580">
        <v>12.2</v>
      </c>
      <c r="J7" s="580">
        <v>87.8</v>
      </c>
      <c r="K7" s="580">
        <v>0</v>
      </c>
      <c r="L7" s="581">
        <v>1676000</v>
      </c>
      <c r="M7" s="581">
        <v>1624000</v>
      </c>
      <c r="N7" s="582">
        <f>Table35[[#This Row],[Total Income]]-Table35[[#This Row],[Total Expenditure]]</f>
        <v>52000</v>
      </c>
      <c r="O7" s="581">
        <v>409000</v>
      </c>
      <c r="P7" s="594">
        <v>1025000</v>
      </c>
      <c r="Q7" s="594">
        <v>0</v>
      </c>
      <c r="R7" s="594">
        <v>1414000</v>
      </c>
      <c r="S7" s="594">
        <v>73000</v>
      </c>
      <c r="T7" s="594">
        <v>41000</v>
      </c>
      <c r="U7" s="594">
        <v>4000</v>
      </c>
      <c r="V7" s="594">
        <v>5000</v>
      </c>
      <c r="W7" s="594">
        <v>0</v>
      </c>
      <c r="X7" s="594">
        <v>0</v>
      </c>
      <c r="Y7" s="594">
        <v>5000</v>
      </c>
      <c r="Z7" s="581">
        <v>1295000</v>
      </c>
      <c r="AA7" s="595">
        <f>M7-Z7-Table35[[#This Row],[Maintenance &amp; Improvement]]-Table35[[#This Row],[Cleaning &amp; Caretaking]]-Table35[[#This Row],[Catering Supply]]</f>
        <v>213000</v>
      </c>
      <c r="AB7" s="581">
        <v>41000</v>
      </c>
      <c r="AC7" s="594">
        <v>41000</v>
      </c>
      <c r="AD7" s="594">
        <v>32000</v>
      </c>
      <c r="AE7" s="594">
        <v>10000</v>
      </c>
      <c r="AF7" s="594">
        <v>0</v>
      </c>
      <c r="AG7" s="581">
        <v>83000</v>
      </c>
      <c r="AH7" s="581">
        <v>50000</v>
      </c>
      <c r="AI7" s="596">
        <v>7000</v>
      </c>
      <c r="AJ7" s="594">
        <v>43000</v>
      </c>
      <c r="AK7" s="594">
        <v>0</v>
      </c>
      <c r="AL7" s="594">
        <v>8000</v>
      </c>
      <c r="AM7" s="594">
        <v>29000</v>
      </c>
      <c r="AN7" s="594">
        <v>3000</v>
      </c>
      <c r="AO7" s="594">
        <v>24000</v>
      </c>
      <c r="AP7" s="581">
        <v>114000</v>
      </c>
      <c r="AQ7" s="594">
        <v>41000</v>
      </c>
      <c r="AR7" s="594">
        <v>20000</v>
      </c>
      <c r="AS7" s="594">
        <v>7000</v>
      </c>
      <c r="AT7" s="594">
        <v>57000</v>
      </c>
      <c r="AU7" s="581">
        <v>132000</v>
      </c>
      <c r="AV7" s="594">
        <v>41000</v>
      </c>
      <c r="AW7" s="594">
        <v>20000</v>
      </c>
      <c r="AX7" s="594">
        <v>7000</v>
      </c>
      <c r="AY7" s="581">
        <v>68000</v>
      </c>
      <c r="AZ7" s="594">
        <v>4000</v>
      </c>
      <c r="BA7" s="594">
        <v>3000</v>
      </c>
      <c r="BB7" s="581">
        <v>7000</v>
      </c>
      <c r="BC7" s="597">
        <f>Table35[[#This Row],[Total Expenditure]]/Table35[[#This Row],[Number of pupils (FTE)]]</f>
        <v>33142.857142857145</v>
      </c>
      <c r="BD7" s="598">
        <f>Table35[[#This Row],[Total Staff Costs]]/Table35[[#This Row],[Number of pupils (FTE)]]</f>
        <v>26428.571428571428</v>
      </c>
      <c r="BE7" s="598">
        <f>Table35[[#This Row],[Teaching staff]]/Table35[[#This Row],[Number of teachers in academy (FTE)]]</f>
        <v>117142.85714285714</v>
      </c>
      <c r="BF7" s="599">
        <f>Table35[[#This Row],[Number of pupils (FTE)]]/Table35[[#This Row],[Number of teachers in academy (FTE)]]</f>
        <v>5.6</v>
      </c>
      <c r="BG7" s="600">
        <f t="shared" si="0"/>
        <v>4346.9387755102043</v>
      </c>
      <c r="BH7" s="598">
        <f>Table35[[#This Row],[Premises Costs]]/Table35[[#This Row],[Number of pupils (FTE)]]</f>
        <v>1693.8775510204082</v>
      </c>
      <c r="BI7" s="598">
        <f>Table35[[#This Row],[Maintenance &amp; Improvement Costs]]/Table35[[#This Row],[Number of pupils (FTE)]]</f>
        <v>836.73469387755097</v>
      </c>
      <c r="BJ7" s="598" t="e">
        <f>#REF!/E7</f>
        <v>#REF!</v>
      </c>
      <c r="BK7" s="598">
        <f t="shared" si="1"/>
        <v>0</v>
      </c>
      <c r="BL7" s="598">
        <f t="shared" si="2"/>
        <v>163.26530612244898</v>
      </c>
      <c r="BM7" s="598">
        <f t="shared" si="3"/>
        <v>591.83673469387759</v>
      </c>
      <c r="BN7" s="598">
        <f t="shared" si="4"/>
        <v>836.73469387755097</v>
      </c>
      <c r="BO7" s="598">
        <f t="shared" si="5"/>
        <v>408.16326530612247</v>
      </c>
      <c r="BP7" s="598">
        <f t="shared" si="6"/>
        <v>1163.2653061224489</v>
      </c>
      <c r="BQ7" s="598">
        <f t="shared" si="7"/>
        <v>2693.8775510204082</v>
      </c>
      <c r="BR7" s="598">
        <f t="shared" si="8"/>
        <v>1387.7551020408164</v>
      </c>
      <c r="BS7" s="598">
        <f t="shared" si="9"/>
        <v>142.85714285714286</v>
      </c>
    </row>
    <row r="8" spans="1:71" ht="29" hidden="1" x14ac:dyDescent="0.35">
      <c r="A8" s="580">
        <v>925</v>
      </c>
      <c r="B8" s="580" t="s">
        <v>489</v>
      </c>
      <c r="C8" s="593" t="s">
        <v>498</v>
      </c>
      <c r="D8" s="593" t="s">
        <v>499</v>
      </c>
      <c r="E8" s="580">
        <v>312</v>
      </c>
      <c r="F8" s="580">
        <v>14.3</v>
      </c>
      <c r="G8" s="580" t="s">
        <v>500</v>
      </c>
      <c r="H8" s="580">
        <v>69.900000000000006</v>
      </c>
      <c r="I8" s="580">
        <v>3.2</v>
      </c>
      <c r="J8" s="580">
        <v>19.2</v>
      </c>
      <c r="K8" s="580">
        <v>0</v>
      </c>
      <c r="L8" s="581">
        <v>2372000</v>
      </c>
      <c r="M8" s="581">
        <v>2146000</v>
      </c>
      <c r="N8" s="582">
        <f>Table35[[#This Row],[Total Income]]-Table35[[#This Row],[Total Expenditure]]</f>
        <v>226000</v>
      </c>
      <c r="O8" s="581">
        <v>426000</v>
      </c>
      <c r="P8" s="594">
        <v>1296000</v>
      </c>
      <c r="Q8" s="594">
        <v>22000</v>
      </c>
      <c r="R8" s="594">
        <v>1207000</v>
      </c>
      <c r="S8" s="594">
        <v>188000</v>
      </c>
      <c r="T8" s="594">
        <v>0</v>
      </c>
      <c r="U8" s="594">
        <v>25000</v>
      </c>
      <c r="V8" s="594">
        <v>23000</v>
      </c>
      <c r="W8" s="594">
        <v>0</v>
      </c>
      <c r="X8" s="594">
        <v>0</v>
      </c>
      <c r="Y8" s="594">
        <v>0</v>
      </c>
      <c r="Z8" s="581">
        <v>1745000</v>
      </c>
      <c r="AA8" s="595">
        <f>M8-Z8-Table35[[#This Row],[Maintenance &amp; Improvement]]-Table35[[#This Row],[Cleaning &amp; Caretaking]]-Table35[[#This Row],[Catering Supply]]</f>
        <v>219000</v>
      </c>
      <c r="AB8" s="581">
        <v>32000</v>
      </c>
      <c r="AC8" s="594">
        <v>32000</v>
      </c>
      <c r="AD8" s="594">
        <v>15000</v>
      </c>
      <c r="AE8" s="594">
        <v>0</v>
      </c>
      <c r="AF8" s="594">
        <v>0</v>
      </c>
      <c r="AG8" s="581">
        <v>47000</v>
      </c>
      <c r="AH8" s="581">
        <v>135000</v>
      </c>
      <c r="AI8" s="596">
        <v>0</v>
      </c>
      <c r="AJ8" s="594">
        <v>135000</v>
      </c>
      <c r="AK8" s="594">
        <v>3000</v>
      </c>
      <c r="AL8" s="594">
        <v>10000</v>
      </c>
      <c r="AM8" s="594">
        <v>51000</v>
      </c>
      <c r="AN8" s="594">
        <v>10000</v>
      </c>
      <c r="AO8" s="594">
        <v>20000</v>
      </c>
      <c r="AP8" s="581">
        <v>229000</v>
      </c>
      <c r="AQ8" s="594">
        <v>85000</v>
      </c>
      <c r="AR8" s="594">
        <v>1000</v>
      </c>
      <c r="AS8" s="594">
        <v>0</v>
      </c>
      <c r="AT8" s="594">
        <v>0</v>
      </c>
      <c r="AU8" s="581">
        <v>125000</v>
      </c>
      <c r="AV8" s="594">
        <v>85000</v>
      </c>
      <c r="AW8" s="594">
        <v>1000</v>
      </c>
      <c r="AX8" s="594">
        <v>0</v>
      </c>
      <c r="AY8" s="581">
        <v>86000</v>
      </c>
      <c r="AZ8" s="594">
        <v>34000</v>
      </c>
      <c r="BA8" s="594">
        <v>5000</v>
      </c>
      <c r="BB8" s="581">
        <v>39000</v>
      </c>
      <c r="BC8" s="597">
        <f>Table35[[#This Row],[Total Expenditure]]/Table35[[#This Row],[Number of pupils (FTE)]]</f>
        <v>6878.2051282051279</v>
      </c>
      <c r="BD8" s="598">
        <f>Table35[[#This Row],[Total Staff Costs]]/Table35[[#This Row],[Number of pupils (FTE)]]</f>
        <v>5592.9487179487178</v>
      </c>
      <c r="BE8" s="598">
        <f>Table35[[#This Row],[Teaching staff]]/Table35[[#This Row],[Number of teachers in academy (FTE)]]</f>
        <v>90629.37062937062</v>
      </c>
      <c r="BF8" s="599">
        <f>Table35[[#This Row],[Number of pupils (FTE)]]/Table35[[#This Row],[Number of teachers in academy (FTE)]]</f>
        <v>21.818181818181817</v>
      </c>
      <c r="BG8" s="600">
        <f t="shared" si="0"/>
        <v>701.92307692307691</v>
      </c>
      <c r="BH8" s="598">
        <f>Table35[[#This Row],[Premises Costs]]/Table35[[#This Row],[Number of pupils (FTE)]]</f>
        <v>150.64102564102564</v>
      </c>
      <c r="BI8" s="598">
        <f>Table35[[#This Row],[Maintenance &amp; Improvement Costs]]/Table35[[#This Row],[Number of pupils (FTE)]]</f>
        <v>102.56410256410257</v>
      </c>
      <c r="BJ8" s="598" t="e">
        <f>#REF!/E8</f>
        <v>#REF!</v>
      </c>
      <c r="BK8" s="598">
        <f t="shared" si="1"/>
        <v>9.615384615384615</v>
      </c>
      <c r="BL8" s="598">
        <f t="shared" si="2"/>
        <v>32.051282051282051</v>
      </c>
      <c r="BM8" s="598">
        <f t="shared" si="3"/>
        <v>163.46153846153845</v>
      </c>
      <c r="BN8" s="598">
        <f t="shared" si="4"/>
        <v>272.43589743589746</v>
      </c>
      <c r="BO8" s="598">
        <f t="shared" si="5"/>
        <v>3.2051282051282053</v>
      </c>
      <c r="BP8" s="598">
        <f t="shared" si="6"/>
        <v>0</v>
      </c>
      <c r="BQ8" s="598">
        <f t="shared" si="7"/>
        <v>400.64102564102564</v>
      </c>
      <c r="BR8" s="598">
        <f t="shared" si="8"/>
        <v>275.64102564102564</v>
      </c>
      <c r="BS8" s="598">
        <f t="shared" si="9"/>
        <v>125</v>
      </c>
    </row>
    <row r="9" spans="1:71" hidden="1" x14ac:dyDescent="0.35">
      <c r="A9" s="580">
        <v>925</v>
      </c>
      <c r="B9" s="580" t="s">
        <v>489</v>
      </c>
      <c r="C9" s="593" t="s">
        <v>501</v>
      </c>
      <c r="D9" s="593" t="s">
        <v>502</v>
      </c>
      <c r="E9" s="580">
        <v>173</v>
      </c>
      <c r="F9" s="580">
        <v>8.1999999999999993</v>
      </c>
      <c r="G9" s="580" t="s">
        <v>500</v>
      </c>
      <c r="H9" s="580">
        <v>12.1</v>
      </c>
      <c r="I9" s="580">
        <v>1.7</v>
      </c>
      <c r="J9" s="580">
        <v>3.5</v>
      </c>
      <c r="K9" s="580">
        <v>0</v>
      </c>
      <c r="L9" s="581">
        <v>986000</v>
      </c>
      <c r="M9" s="581">
        <v>1059000</v>
      </c>
      <c r="N9" s="582">
        <f>Table35[[#This Row],[Total Income]]-Table35[[#This Row],[Total Expenditure]]</f>
        <v>-73000</v>
      </c>
      <c r="O9" s="581">
        <v>-40000</v>
      </c>
      <c r="P9" s="594">
        <v>631000</v>
      </c>
      <c r="Q9" s="594">
        <v>0</v>
      </c>
      <c r="R9" s="594">
        <v>663000</v>
      </c>
      <c r="S9" s="594">
        <v>96000</v>
      </c>
      <c r="T9" s="594">
        <v>0</v>
      </c>
      <c r="U9" s="594">
        <v>2000</v>
      </c>
      <c r="V9" s="594">
        <v>24000</v>
      </c>
      <c r="W9" s="594">
        <v>0</v>
      </c>
      <c r="X9" s="594">
        <v>0</v>
      </c>
      <c r="Y9" s="594">
        <v>75000</v>
      </c>
      <c r="Z9" s="581">
        <v>791000</v>
      </c>
      <c r="AA9" s="595">
        <f>M9-Z9-Table35[[#This Row],[Maintenance &amp; Improvement]]-Table35[[#This Row],[Cleaning &amp; Caretaking]]-Table35[[#This Row],[Catering Supply]]</f>
        <v>186000</v>
      </c>
      <c r="AB9" s="581">
        <v>16000</v>
      </c>
      <c r="AC9" s="594">
        <v>16000</v>
      </c>
      <c r="AD9" s="594">
        <v>35000</v>
      </c>
      <c r="AE9" s="594">
        <v>14000</v>
      </c>
      <c r="AF9" s="594">
        <v>0</v>
      </c>
      <c r="AG9" s="581">
        <v>65000</v>
      </c>
      <c r="AH9" s="581">
        <v>31000</v>
      </c>
      <c r="AI9" s="596">
        <v>0</v>
      </c>
      <c r="AJ9" s="594">
        <v>31000</v>
      </c>
      <c r="AK9" s="594">
        <v>5000</v>
      </c>
      <c r="AL9" s="594">
        <v>4000</v>
      </c>
      <c r="AM9" s="594">
        <v>23000</v>
      </c>
      <c r="AN9" s="594">
        <v>4000</v>
      </c>
      <c r="AO9" s="594">
        <v>7000</v>
      </c>
      <c r="AP9" s="581">
        <v>74000</v>
      </c>
      <c r="AQ9" s="594">
        <v>55000</v>
      </c>
      <c r="AR9" s="594">
        <v>0</v>
      </c>
      <c r="AS9" s="594">
        <v>0</v>
      </c>
      <c r="AT9" s="594">
        <v>49000</v>
      </c>
      <c r="AU9" s="581">
        <v>129000</v>
      </c>
      <c r="AV9" s="594">
        <v>55000</v>
      </c>
      <c r="AW9" s="594">
        <v>0</v>
      </c>
      <c r="AX9" s="594">
        <v>0</v>
      </c>
      <c r="AY9" s="581">
        <v>55000</v>
      </c>
      <c r="AZ9" s="594">
        <v>25000</v>
      </c>
      <c r="BA9" s="594">
        <v>0</v>
      </c>
      <c r="BB9" s="581">
        <v>25000</v>
      </c>
      <c r="BC9" s="597">
        <f>Table35[[#This Row],[Total Expenditure]]/Table35[[#This Row],[Number of pupils (FTE)]]</f>
        <v>6121.3872832369943</v>
      </c>
      <c r="BD9" s="598">
        <f>Table35[[#This Row],[Total Staff Costs]]/Table35[[#This Row],[Number of pupils (FTE)]]</f>
        <v>4572.254335260116</v>
      </c>
      <c r="BE9" s="598">
        <f>Table35[[#This Row],[Teaching staff]]/Table35[[#This Row],[Number of teachers in academy (FTE)]]</f>
        <v>76951.219512195123</v>
      </c>
      <c r="BF9" s="599">
        <f>Table35[[#This Row],[Number of pupils (FTE)]]/Table35[[#This Row],[Number of teachers in academy (FTE)]]</f>
        <v>21.097560975609756</v>
      </c>
      <c r="BG9" s="600">
        <f t="shared" si="0"/>
        <v>1075.1445086705203</v>
      </c>
      <c r="BH9" s="598">
        <f>Table35[[#This Row],[Premises Costs]]/Table35[[#This Row],[Number of pupils (FTE)]]</f>
        <v>375.72254335260118</v>
      </c>
      <c r="BI9" s="598">
        <f>Table35[[#This Row],[Maintenance &amp; Improvement Costs]]/Table35[[#This Row],[Number of pupils (FTE)]]</f>
        <v>92.48554913294798</v>
      </c>
      <c r="BJ9" s="598" t="e">
        <f>#REF!/E9</f>
        <v>#REF!</v>
      </c>
      <c r="BK9" s="598">
        <f t="shared" si="1"/>
        <v>28.901734104046241</v>
      </c>
      <c r="BL9" s="598">
        <f t="shared" si="2"/>
        <v>23.121387283236995</v>
      </c>
      <c r="BM9" s="598">
        <f t="shared" si="3"/>
        <v>132.94797687861271</v>
      </c>
      <c r="BN9" s="598">
        <f t="shared" si="4"/>
        <v>317.91907514450867</v>
      </c>
      <c r="BO9" s="598">
        <f t="shared" si="5"/>
        <v>0</v>
      </c>
      <c r="BP9" s="598">
        <f t="shared" si="6"/>
        <v>283.23699421965318</v>
      </c>
      <c r="BQ9" s="598">
        <f t="shared" si="7"/>
        <v>745.66473988439304</v>
      </c>
      <c r="BR9" s="598">
        <f t="shared" si="8"/>
        <v>317.91907514450867</v>
      </c>
      <c r="BS9" s="598">
        <f t="shared" si="9"/>
        <v>144.50867052023122</v>
      </c>
    </row>
    <row r="10" spans="1:71" ht="29" hidden="1" x14ac:dyDescent="0.35">
      <c r="A10" s="580">
        <v>925</v>
      </c>
      <c r="B10" s="580" t="s">
        <v>489</v>
      </c>
      <c r="C10" s="593" t="s">
        <v>503</v>
      </c>
      <c r="D10" s="593" t="s">
        <v>499</v>
      </c>
      <c r="E10" s="580">
        <v>120</v>
      </c>
      <c r="F10" s="580">
        <v>6.2</v>
      </c>
      <c r="G10" s="580" t="s">
        <v>500</v>
      </c>
      <c r="H10" s="580">
        <v>73.599999999999994</v>
      </c>
      <c r="I10" s="580">
        <v>1.6</v>
      </c>
      <c r="J10" s="580">
        <v>32.200000000000003</v>
      </c>
      <c r="K10" s="580">
        <v>0</v>
      </c>
      <c r="L10" s="581">
        <v>1110000</v>
      </c>
      <c r="M10" s="581">
        <v>957000</v>
      </c>
      <c r="N10" s="582">
        <f>Table35[[#This Row],[Total Income]]-Table35[[#This Row],[Total Expenditure]]</f>
        <v>153000</v>
      </c>
      <c r="O10" s="581">
        <v>120000</v>
      </c>
      <c r="P10" s="594">
        <v>636000</v>
      </c>
      <c r="Q10" s="594">
        <v>27000</v>
      </c>
      <c r="R10" s="594">
        <v>988000</v>
      </c>
      <c r="S10" s="594">
        <v>214000</v>
      </c>
      <c r="T10" s="594">
        <v>409000</v>
      </c>
      <c r="U10" s="594">
        <v>17000</v>
      </c>
      <c r="V10" s="594">
        <v>15000</v>
      </c>
      <c r="W10" s="594">
        <v>0</v>
      </c>
      <c r="X10" s="594">
        <v>0</v>
      </c>
      <c r="Y10" s="594">
        <v>0</v>
      </c>
      <c r="Z10" s="581">
        <v>735000</v>
      </c>
      <c r="AA10" s="595">
        <f>M10-Z10-Table35[[#This Row],[Maintenance &amp; Improvement]]-Table35[[#This Row],[Cleaning &amp; Caretaking]]-Table35[[#This Row],[Catering Supply]]</f>
        <v>127000</v>
      </c>
      <c r="AB10" s="581">
        <v>27000</v>
      </c>
      <c r="AC10" s="594">
        <v>27000</v>
      </c>
      <c r="AD10" s="594">
        <v>8000</v>
      </c>
      <c r="AE10" s="594">
        <v>0</v>
      </c>
      <c r="AF10" s="594">
        <v>0</v>
      </c>
      <c r="AG10" s="581">
        <v>35000</v>
      </c>
      <c r="AH10" s="581">
        <v>60000</v>
      </c>
      <c r="AI10" s="596">
        <v>0</v>
      </c>
      <c r="AJ10" s="594">
        <v>60000</v>
      </c>
      <c r="AK10" s="594">
        <v>2000</v>
      </c>
      <c r="AL10" s="594">
        <v>5000</v>
      </c>
      <c r="AM10" s="594">
        <v>26000</v>
      </c>
      <c r="AN10" s="594">
        <v>4000</v>
      </c>
      <c r="AO10" s="594">
        <v>22000</v>
      </c>
      <c r="AP10" s="581">
        <v>119000</v>
      </c>
      <c r="AQ10" s="594">
        <v>53000</v>
      </c>
      <c r="AR10" s="594">
        <v>0</v>
      </c>
      <c r="AS10" s="594">
        <v>0</v>
      </c>
      <c r="AT10" s="594">
        <v>0</v>
      </c>
      <c r="AU10" s="581">
        <v>68000</v>
      </c>
      <c r="AV10" s="594">
        <v>53000</v>
      </c>
      <c r="AW10" s="594">
        <v>0</v>
      </c>
      <c r="AX10" s="594">
        <v>0</v>
      </c>
      <c r="AY10" s="581">
        <v>53000</v>
      </c>
      <c r="AZ10" s="594">
        <v>13000</v>
      </c>
      <c r="BA10" s="594">
        <v>2000</v>
      </c>
      <c r="BB10" s="581">
        <v>15000</v>
      </c>
      <c r="BC10" s="597">
        <f>Table35[[#This Row],[Total Expenditure]]/Table35[[#This Row],[Number of pupils (FTE)]]</f>
        <v>7975</v>
      </c>
      <c r="BD10" s="598">
        <f>Table35[[#This Row],[Total Staff Costs]]/Table35[[#This Row],[Number of pupils (FTE)]]</f>
        <v>6125</v>
      </c>
      <c r="BE10" s="598">
        <f>Table35[[#This Row],[Teaching staff]]/Table35[[#This Row],[Number of teachers in academy (FTE)]]</f>
        <v>102580.64516129032</v>
      </c>
      <c r="BF10" s="599">
        <f>Table35[[#This Row],[Number of pupils (FTE)]]/Table35[[#This Row],[Number of teachers in academy (FTE)]]</f>
        <v>19.35483870967742</v>
      </c>
      <c r="BG10" s="600">
        <f t="shared" si="0"/>
        <v>1058.3333333333333</v>
      </c>
      <c r="BH10" s="598">
        <f>Table35[[#This Row],[Premises Costs]]/Table35[[#This Row],[Number of pupils (FTE)]]</f>
        <v>291.66666666666669</v>
      </c>
      <c r="BI10" s="598">
        <f>Table35[[#This Row],[Maintenance &amp; Improvement Costs]]/Table35[[#This Row],[Number of pupils (FTE)]]</f>
        <v>225</v>
      </c>
      <c r="BJ10" s="598" t="e">
        <f>#REF!/E10</f>
        <v>#REF!</v>
      </c>
      <c r="BK10" s="598">
        <f t="shared" si="1"/>
        <v>16.666666666666668</v>
      </c>
      <c r="BL10" s="598">
        <f t="shared" si="2"/>
        <v>41.666666666666664</v>
      </c>
      <c r="BM10" s="598">
        <f t="shared" si="3"/>
        <v>216.66666666666666</v>
      </c>
      <c r="BN10" s="598">
        <f t="shared" si="4"/>
        <v>441.66666666666669</v>
      </c>
      <c r="BO10" s="598">
        <f t="shared" si="5"/>
        <v>0</v>
      </c>
      <c r="BP10" s="598">
        <f t="shared" si="6"/>
        <v>0</v>
      </c>
      <c r="BQ10" s="598">
        <f t="shared" si="7"/>
        <v>566.66666666666663</v>
      </c>
      <c r="BR10" s="598">
        <f t="shared" si="8"/>
        <v>441.66666666666669</v>
      </c>
      <c r="BS10" s="598">
        <f t="shared" si="9"/>
        <v>125</v>
      </c>
    </row>
    <row r="11" spans="1:71" ht="29" hidden="1" x14ac:dyDescent="0.35">
      <c r="A11" s="580">
        <v>925</v>
      </c>
      <c r="B11" s="580" t="s">
        <v>489</v>
      </c>
      <c r="C11" s="593" t="s">
        <v>504</v>
      </c>
      <c r="D11" s="593" t="s">
        <v>499</v>
      </c>
      <c r="E11" s="580">
        <v>319</v>
      </c>
      <c r="F11" s="580">
        <v>15.7</v>
      </c>
      <c r="G11" s="580" t="s">
        <v>500</v>
      </c>
      <c r="H11" s="580">
        <v>57</v>
      </c>
      <c r="I11" s="580">
        <v>4.3</v>
      </c>
      <c r="J11" s="580">
        <v>15.2</v>
      </c>
      <c r="K11" s="580">
        <v>0</v>
      </c>
      <c r="L11" s="581">
        <v>2531000</v>
      </c>
      <c r="M11" s="581">
        <v>2257000</v>
      </c>
      <c r="N11" s="582">
        <f>Table35[[#This Row],[Total Income]]-Table35[[#This Row],[Total Expenditure]]</f>
        <v>274000</v>
      </c>
      <c r="O11" s="581">
        <v>187000</v>
      </c>
      <c r="P11" s="594">
        <v>1028000</v>
      </c>
      <c r="Q11" s="594">
        <v>0</v>
      </c>
      <c r="R11" s="594">
        <v>1426000</v>
      </c>
      <c r="S11" s="594">
        <v>151000</v>
      </c>
      <c r="T11" s="594">
        <v>10000</v>
      </c>
      <c r="U11" s="594">
        <v>2000</v>
      </c>
      <c r="V11" s="594">
        <v>13000</v>
      </c>
      <c r="W11" s="594">
        <v>0</v>
      </c>
      <c r="X11" s="594">
        <v>0</v>
      </c>
      <c r="Y11" s="594">
        <v>81000</v>
      </c>
      <c r="Z11" s="581">
        <v>1781000</v>
      </c>
      <c r="AA11" s="595">
        <f>M11-Z11-Table35[[#This Row],[Maintenance &amp; Improvement]]-Table35[[#This Row],[Cleaning &amp; Caretaking]]-Table35[[#This Row],[Catering Supply]]</f>
        <v>262000</v>
      </c>
      <c r="AB11" s="581">
        <v>46000</v>
      </c>
      <c r="AC11" s="594">
        <v>46000</v>
      </c>
      <c r="AD11" s="594">
        <v>19000</v>
      </c>
      <c r="AE11" s="594">
        <v>31000</v>
      </c>
      <c r="AF11" s="594">
        <v>0</v>
      </c>
      <c r="AG11" s="581">
        <v>96000</v>
      </c>
      <c r="AH11" s="581">
        <v>149000</v>
      </c>
      <c r="AI11" s="596">
        <v>0</v>
      </c>
      <c r="AJ11" s="594">
        <v>149000</v>
      </c>
      <c r="AK11" s="594">
        <v>3000</v>
      </c>
      <c r="AL11" s="594">
        <v>8000</v>
      </c>
      <c r="AM11" s="594">
        <v>48000</v>
      </c>
      <c r="AN11" s="594">
        <v>11000</v>
      </c>
      <c r="AO11" s="594">
        <v>44000</v>
      </c>
      <c r="AP11" s="581">
        <v>263000</v>
      </c>
      <c r="AQ11" s="594">
        <v>85000</v>
      </c>
      <c r="AR11" s="594">
        <v>0</v>
      </c>
      <c r="AS11" s="594">
        <v>0</v>
      </c>
      <c r="AT11" s="594">
        <v>0</v>
      </c>
      <c r="AU11" s="581">
        <v>117000</v>
      </c>
      <c r="AV11" s="594">
        <v>85000</v>
      </c>
      <c r="AW11" s="594">
        <v>0</v>
      </c>
      <c r="AX11" s="594">
        <v>0</v>
      </c>
      <c r="AY11" s="581">
        <v>85000</v>
      </c>
      <c r="AZ11" s="594">
        <v>28000</v>
      </c>
      <c r="BA11" s="594">
        <v>4000</v>
      </c>
      <c r="BB11" s="581">
        <v>32000</v>
      </c>
      <c r="BC11" s="597">
        <f>Table35[[#This Row],[Total Expenditure]]/Table35[[#This Row],[Number of pupils (FTE)]]</f>
        <v>7075.235109717868</v>
      </c>
      <c r="BD11" s="598">
        <f>Table35[[#This Row],[Total Staff Costs]]/Table35[[#This Row],[Number of pupils (FTE)]]</f>
        <v>5583.0721003134795</v>
      </c>
      <c r="BE11" s="598">
        <f>Table35[[#This Row],[Teaching staff]]/Table35[[#This Row],[Number of teachers in academy (FTE)]]</f>
        <v>65477.707006369426</v>
      </c>
      <c r="BF11" s="599">
        <f>Table35[[#This Row],[Number of pupils (FTE)]]/Table35[[#This Row],[Number of teachers in academy (FTE)]]</f>
        <v>20.31847133757962</v>
      </c>
      <c r="BG11" s="600">
        <f t="shared" si="0"/>
        <v>821.31661442006271</v>
      </c>
      <c r="BH11" s="598">
        <f>Table35[[#This Row],[Premises Costs]]/Table35[[#This Row],[Number of pupils (FTE)]]</f>
        <v>300.94043887147336</v>
      </c>
      <c r="BI11" s="598">
        <f>Table35[[#This Row],[Maintenance &amp; Improvement Costs]]/Table35[[#This Row],[Number of pupils (FTE)]]</f>
        <v>144.20062695924764</v>
      </c>
      <c r="BJ11" s="598" t="e">
        <f>#REF!/E11</f>
        <v>#REF!</v>
      </c>
      <c r="BK11" s="598">
        <f t="shared" si="1"/>
        <v>9.4043887147335425</v>
      </c>
      <c r="BL11" s="598">
        <f t="shared" si="2"/>
        <v>25.078369905956112</v>
      </c>
      <c r="BM11" s="598">
        <f t="shared" si="3"/>
        <v>150.47021943573668</v>
      </c>
      <c r="BN11" s="598">
        <f t="shared" si="4"/>
        <v>266.45768025078371</v>
      </c>
      <c r="BO11" s="598">
        <f t="shared" si="5"/>
        <v>0</v>
      </c>
      <c r="BP11" s="598">
        <f t="shared" si="6"/>
        <v>0</v>
      </c>
      <c r="BQ11" s="598">
        <f t="shared" si="7"/>
        <v>366.77115987460814</v>
      </c>
      <c r="BR11" s="598">
        <f t="shared" si="8"/>
        <v>266.45768025078371</v>
      </c>
      <c r="BS11" s="598">
        <f t="shared" si="9"/>
        <v>100.31347962382445</v>
      </c>
    </row>
    <row r="12" spans="1:71" hidden="1" x14ac:dyDescent="0.35">
      <c r="A12" s="580">
        <v>925</v>
      </c>
      <c r="B12" s="580" t="s">
        <v>489</v>
      </c>
      <c r="C12" s="593" t="s">
        <v>505</v>
      </c>
      <c r="D12" s="593" t="s">
        <v>506</v>
      </c>
      <c r="E12" s="580">
        <v>421</v>
      </c>
      <c r="F12" s="580">
        <v>19.600000000000001</v>
      </c>
      <c r="G12" s="580" t="s">
        <v>500</v>
      </c>
      <c r="H12" s="580">
        <v>12.8</v>
      </c>
      <c r="I12" s="580">
        <v>4.3</v>
      </c>
      <c r="J12" s="580">
        <v>13.3</v>
      </c>
      <c r="K12" s="580">
        <v>0</v>
      </c>
      <c r="L12" s="581">
        <v>2472000</v>
      </c>
      <c r="M12" s="581">
        <v>2326000</v>
      </c>
      <c r="N12" s="582">
        <f>Table35[[#This Row],[Total Income]]-Table35[[#This Row],[Total Expenditure]]</f>
        <v>146000</v>
      </c>
      <c r="O12" s="581">
        <v>0</v>
      </c>
      <c r="P12" s="594">
        <v>891000</v>
      </c>
      <c r="Q12" s="594">
        <v>0</v>
      </c>
      <c r="R12" s="594">
        <v>583000</v>
      </c>
      <c r="S12" s="594">
        <v>74000</v>
      </c>
      <c r="T12" s="594">
        <v>14000</v>
      </c>
      <c r="U12" s="594">
        <v>11000</v>
      </c>
      <c r="V12" s="594">
        <v>13000</v>
      </c>
      <c r="W12" s="594">
        <v>0</v>
      </c>
      <c r="X12" s="594">
        <v>0</v>
      </c>
      <c r="Y12" s="594">
        <v>168000</v>
      </c>
      <c r="Z12" s="581">
        <v>1755000</v>
      </c>
      <c r="AA12" s="595">
        <f>M12-Z12-Table35[[#This Row],[Maintenance &amp; Improvement]]-Table35[[#This Row],[Cleaning &amp; Caretaking]]-Table35[[#This Row],[Catering Supply]]</f>
        <v>480000</v>
      </c>
      <c r="AB12" s="581">
        <v>39000</v>
      </c>
      <c r="AC12" s="594">
        <v>39000</v>
      </c>
      <c r="AD12" s="594">
        <v>31000</v>
      </c>
      <c r="AE12" s="594">
        <v>93000</v>
      </c>
      <c r="AF12" s="594">
        <v>0</v>
      </c>
      <c r="AG12" s="581">
        <v>163000</v>
      </c>
      <c r="AH12" s="581">
        <v>146000</v>
      </c>
      <c r="AI12" s="596">
        <v>125000</v>
      </c>
      <c r="AJ12" s="594">
        <v>21000</v>
      </c>
      <c r="AK12" s="594">
        <v>8000</v>
      </c>
      <c r="AL12" s="594">
        <v>14000</v>
      </c>
      <c r="AM12" s="594">
        <v>62000</v>
      </c>
      <c r="AN12" s="594">
        <v>10000</v>
      </c>
      <c r="AO12" s="594">
        <v>13000</v>
      </c>
      <c r="AP12" s="581">
        <v>253000</v>
      </c>
      <c r="AQ12" s="594">
        <v>42000</v>
      </c>
      <c r="AR12" s="594">
        <v>0</v>
      </c>
      <c r="AS12" s="594">
        <v>0</v>
      </c>
      <c r="AT12" s="594">
        <v>87000</v>
      </c>
      <c r="AU12" s="581">
        <v>155000</v>
      </c>
      <c r="AV12" s="594">
        <v>42000</v>
      </c>
      <c r="AW12" s="594">
        <v>0</v>
      </c>
      <c r="AX12" s="594">
        <v>0</v>
      </c>
      <c r="AY12" s="581">
        <v>42000</v>
      </c>
      <c r="AZ12" s="594">
        <v>23000</v>
      </c>
      <c r="BA12" s="594">
        <v>3000</v>
      </c>
      <c r="BB12" s="581">
        <v>26000</v>
      </c>
      <c r="BC12" s="597">
        <f>Table35[[#This Row],[Total Expenditure]]/Table35[[#This Row],[Number of pupils (FTE)]]</f>
        <v>5524.9406175771974</v>
      </c>
      <c r="BD12" s="598">
        <f>Table35[[#This Row],[Total Staff Costs]]/Table35[[#This Row],[Number of pupils (FTE)]]</f>
        <v>4168.6460807600952</v>
      </c>
      <c r="BE12" s="598">
        <f>Table35[[#This Row],[Teaching staff]]/Table35[[#This Row],[Number of teachers in academy (FTE)]]</f>
        <v>45459.183673469386</v>
      </c>
      <c r="BF12" s="599">
        <f>Table35[[#This Row],[Number of pupils (FTE)]]/Table35[[#This Row],[Number of teachers in academy (FTE)]]</f>
        <v>21.479591836734691</v>
      </c>
      <c r="BG12" s="600">
        <f t="shared" si="0"/>
        <v>1140.1425178147269</v>
      </c>
      <c r="BH12" s="598">
        <f>Table35[[#This Row],[Premises Costs]]/Table35[[#This Row],[Number of pupils (FTE)]]</f>
        <v>387.1733966745843</v>
      </c>
      <c r="BI12" s="598">
        <f>Table35[[#This Row],[Maintenance &amp; Improvement Costs]]/Table35[[#This Row],[Number of pupils (FTE)]]</f>
        <v>92.63657957244655</v>
      </c>
      <c r="BJ12" s="598" t="e">
        <f>#REF!/E12</f>
        <v>#REF!</v>
      </c>
      <c r="BK12" s="598">
        <f t="shared" si="1"/>
        <v>19.002375296912113</v>
      </c>
      <c r="BL12" s="598">
        <f t="shared" si="2"/>
        <v>33.2541567695962</v>
      </c>
      <c r="BM12" s="598">
        <f t="shared" si="3"/>
        <v>147.26840855106889</v>
      </c>
      <c r="BN12" s="598">
        <f t="shared" si="4"/>
        <v>99.762470308788593</v>
      </c>
      <c r="BO12" s="598">
        <f t="shared" si="5"/>
        <v>0</v>
      </c>
      <c r="BP12" s="598">
        <f t="shared" si="6"/>
        <v>206.65083135391924</v>
      </c>
      <c r="BQ12" s="598">
        <f t="shared" si="7"/>
        <v>368.17102137767222</v>
      </c>
      <c r="BR12" s="598">
        <f t="shared" si="8"/>
        <v>99.762470308788593</v>
      </c>
      <c r="BS12" s="598">
        <f t="shared" si="9"/>
        <v>61.757719714964374</v>
      </c>
    </row>
    <row r="13" spans="1:71" ht="29" hidden="1" x14ac:dyDescent="0.35">
      <c r="A13" s="580">
        <v>925</v>
      </c>
      <c r="B13" s="580" t="s">
        <v>489</v>
      </c>
      <c r="C13" s="593" t="s">
        <v>507</v>
      </c>
      <c r="D13" s="593" t="s">
        <v>508</v>
      </c>
      <c r="E13" s="580">
        <v>65</v>
      </c>
      <c r="F13" s="580">
        <v>3</v>
      </c>
      <c r="G13" s="580" t="s">
        <v>500</v>
      </c>
      <c r="H13" s="580">
        <v>43.1</v>
      </c>
      <c r="I13" s="580">
        <v>4.5999999999999996</v>
      </c>
      <c r="J13" s="580">
        <v>23.1</v>
      </c>
      <c r="K13" s="580">
        <v>0</v>
      </c>
      <c r="L13" s="581">
        <v>528000</v>
      </c>
      <c r="M13" s="581">
        <v>509000</v>
      </c>
      <c r="N13" s="582">
        <f>Table35[[#This Row],[Total Income]]-Table35[[#This Row],[Total Expenditure]]</f>
        <v>19000</v>
      </c>
      <c r="O13" s="581">
        <v>95000</v>
      </c>
      <c r="P13" s="594">
        <v>1068000</v>
      </c>
      <c r="Q13" s="594">
        <v>0</v>
      </c>
      <c r="R13" s="594">
        <v>492000</v>
      </c>
      <c r="S13" s="594">
        <v>95000</v>
      </c>
      <c r="T13" s="594">
        <v>25000</v>
      </c>
      <c r="U13" s="594">
        <v>6000</v>
      </c>
      <c r="V13" s="594">
        <v>1000</v>
      </c>
      <c r="W13" s="594">
        <v>0</v>
      </c>
      <c r="X13" s="594">
        <v>0</v>
      </c>
      <c r="Y13" s="594">
        <v>57000</v>
      </c>
      <c r="Z13" s="581">
        <v>366000</v>
      </c>
      <c r="AA13" s="595">
        <f>M13-Z13-Table35[[#This Row],[Maintenance &amp; Improvement]]-Table35[[#This Row],[Cleaning &amp; Caretaking]]-Table35[[#This Row],[Catering Supply]]</f>
        <v>91000</v>
      </c>
      <c r="AB13" s="581">
        <v>20000</v>
      </c>
      <c r="AC13" s="594">
        <v>20000</v>
      </c>
      <c r="AD13" s="594">
        <v>9000</v>
      </c>
      <c r="AE13" s="594">
        <v>14000</v>
      </c>
      <c r="AF13" s="594">
        <v>0</v>
      </c>
      <c r="AG13" s="581">
        <v>43000</v>
      </c>
      <c r="AH13" s="581">
        <v>23000</v>
      </c>
      <c r="AI13" s="596">
        <v>0</v>
      </c>
      <c r="AJ13" s="594">
        <v>23000</v>
      </c>
      <c r="AK13" s="594">
        <v>1000</v>
      </c>
      <c r="AL13" s="594">
        <v>1000</v>
      </c>
      <c r="AM13" s="594">
        <v>10000</v>
      </c>
      <c r="AN13" s="594">
        <v>1000</v>
      </c>
      <c r="AO13" s="594">
        <v>6000</v>
      </c>
      <c r="AP13" s="581">
        <v>42000</v>
      </c>
      <c r="AQ13" s="594">
        <v>28000</v>
      </c>
      <c r="AR13" s="594">
        <v>12000</v>
      </c>
      <c r="AS13" s="594">
        <v>0</v>
      </c>
      <c r="AT13" s="594">
        <v>7000</v>
      </c>
      <c r="AU13" s="581">
        <v>58000</v>
      </c>
      <c r="AV13" s="594">
        <v>28000</v>
      </c>
      <c r="AW13" s="594">
        <v>12000</v>
      </c>
      <c r="AX13" s="594">
        <v>0</v>
      </c>
      <c r="AY13" s="581">
        <v>40000</v>
      </c>
      <c r="AZ13" s="594">
        <v>10000</v>
      </c>
      <c r="BA13" s="594">
        <v>1000</v>
      </c>
      <c r="BB13" s="581">
        <v>11000</v>
      </c>
      <c r="BC13" s="597">
        <f>Table35[[#This Row],[Total Expenditure]]/Table35[[#This Row],[Number of pupils (FTE)]]</f>
        <v>7830.7692307692305</v>
      </c>
      <c r="BD13" s="598">
        <f>Table35[[#This Row],[Total Staff Costs]]/Table35[[#This Row],[Number of pupils (FTE)]]</f>
        <v>5630.7692307692305</v>
      </c>
      <c r="BE13" s="598">
        <f>Table35[[#This Row],[Teaching staff]]/Table35[[#This Row],[Number of teachers in academy (FTE)]]</f>
        <v>356000</v>
      </c>
      <c r="BF13" s="599">
        <f>Table35[[#This Row],[Number of pupils (FTE)]]/Table35[[#This Row],[Number of teachers in academy (FTE)]]</f>
        <v>21.666666666666668</v>
      </c>
      <c r="BG13" s="600">
        <f t="shared" si="0"/>
        <v>1400</v>
      </c>
      <c r="BH13" s="598">
        <f>Table35[[#This Row],[Premises Costs]]/Table35[[#This Row],[Number of pupils (FTE)]]</f>
        <v>661.53846153846155</v>
      </c>
      <c r="BI13" s="598">
        <f>Table35[[#This Row],[Maintenance &amp; Improvement Costs]]/Table35[[#This Row],[Number of pupils (FTE)]]</f>
        <v>307.69230769230768</v>
      </c>
      <c r="BJ13" s="598" t="e">
        <f>#REF!/E13</f>
        <v>#REF!</v>
      </c>
      <c r="BK13" s="598">
        <f t="shared" si="1"/>
        <v>15.384615384615385</v>
      </c>
      <c r="BL13" s="598">
        <f t="shared" si="2"/>
        <v>15.384615384615385</v>
      </c>
      <c r="BM13" s="598">
        <f t="shared" si="3"/>
        <v>153.84615384615384</v>
      </c>
      <c r="BN13" s="598">
        <f t="shared" si="4"/>
        <v>430.76923076923077</v>
      </c>
      <c r="BO13" s="598">
        <f t="shared" si="5"/>
        <v>184.61538461538461</v>
      </c>
      <c r="BP13" s="598">
        <f t="shared" si="6"/>
        <v>107.69230769230769</v>
      </c>
      <c r="BQ13" s="598">
        <f t="shared" si="7"/>
        <v>892.30769230769226</v>
      </c>
      <c r="BR13" s="598">
        <f t="shared" si="8"/>
        <v>615.38461538461536</v>
      </c>
      <c r="BS13" s="598">
        <f t="shared" si="9"/>
        <v>169.23076923076923</v>
      </c>
    </row>
    <row r="14" spans="1:71" ht="29" hidden="1" x14ac:dyDescent="0.35">
      <c r="A14" s="580">
        <v>925</v>
      </c>
      <c r="B14" s="580" t="s">
        <v>489</v>
      </c>
      <c r="C14" s="593" t="s">
        <v>509</v>
      </c>
      <c r="D14" s="593" t="s">
        <v>510</v>
      </c>
      <c r="E14" s="580">
        <v>180</v>
      </c>
      <c r="F14" s="580">
        <v>9.92</v>
      </c>
      <c r="G14" s="580" t="s">
        <v>500</v>
      </c>
      <c r="H14" s="580">
        <v>73.3</v>
      </c>
      <c r="I14" s="580">
        <v>3.9</v>
      </c>
      <c r="J14" s="580">
        <v>23.9</v>
      </c>
      <c r="K14" s="580">
        <v>0</v>
      </c>
      <c r="L14" s="581">
        <v>1461000</v>
      </c>
      <c r="M14" s="581">
        <v>1268000</v>
      </c>
      <c r="N14" s="582">
        <f>Table35[[#This Row],[Total Income]]-Table35[[#This Row],[Total Expenditure]]</f>
        <v>193000</v>
      </c>
      <c r="O14" s="581">
        <v>0</v>
      </c>
      <c r="P14" s="594">
        <v>214000</v>
      </c>
      <c r="Q14" s="594">
        <v>2000</v>
      </c>
      <c r="R14" s="594">
        <v>274000</v>
      </c>
      <c r="S14" s="594">
        <v>43000</v>
      </c>
      <c r="T14" s="594">
        <v>0</v>
      </c>
      <c r="U14" s="594">
        <v>1000</v>
      </c>
      <c r="V14" s="594">
        <v>1000</v>
      </c>
      <c r="W14" s="594">
        <v>0</v>
      </c>
      <c r="X14" s="594">
        <v>0</v>
      </c>
      <c r="Y14" s="594">
        <v>0</v>
      </c>
      <c r="Z14" s="581">
        <v>958000</v>
      </c>
      <c r="AA14" s="595">
        <f>M14-Z14-Table35[[#This Row],[Maintenance &amp; Improvement]]-Table35[[#This Row],[Cleaning &amp; Caretaking]]-Table35[[#This Row],[Catering Supply]]</f>
        <v>140000</v>
      </c>
      <c r="AB14" s="581">
        <v>52000</v>
      </c>
      <c r="AC14" s="594">
        <v>52000</v>
      </c>
      <c r="AD14" s="594">
        <v>3000</v>
      </c>
      <c r="AE14" s="594">
        <v>60000</v>
      </c>
      <c r="AF14" s="594">
        <v>0</v>
      </c>
      <c r="AG14" s="581">
        <v>115000</v>
      </c>
      <c r="AH14" s="581">
        <v>143000</v>
      </c>
      <c r="AI14" s="596">
        <v>28000</v>
      </c>
      <c r="AJ14" s="594">
        <v>115000</v>
      </c>
      <c r="AK14" s="594">
        <v>2000</v>
      </c>
      <c r="AL14" s="594">
        <v>4000</v>
      </c>
      <c r="AM14" s="594">
        <v>15000</v>
      </c>
      <c r="AN14" s="594">
        <v>0</v>
      </c>
      <c r="AO14" s="594">
        <v>0</v>
      </c>
      <c r="AP14" s="581">
        <v>164000</v>
      </c>
      <c r="AQ14" s="594">
        <v>16000</v>
      </c>
      <c r="AR14" s="594">
        <v>4000</v>
      </c>
      <c r="AS14" s="594">
        <v>0</v>
      </c>
      <c r="AT14" s="594">
        <v>0</v>
      </c>
      <c r="AU14" s="581">
        <v>31000</v>
      </c>
      <c r="AV14" s="594">
        <v>16000</v>
      </c>
      <c r="AW14" s="594">
        <v>4000</v>
      </c>
      <c r="AX14" s="594">
        <v>0</v>
      </c>
      <c r="AY14" s="581">
        <v>20000</v>
      </c>
      <c r="AZ14" s="594">
        <v>11000</v>
      </c>
      <c r="BA14" s="594">
        <v>0</v>
      </c>
      <c r="BB14" s="581">
        <v>11000</v>
      </c>
      <c r="BC14" s="597">
        <f>Table35[[#This Row],[Total Expenditure]]/Table35[[#This Row],[Number of pupils (FTE)]]</f>
        <v>7044.4444444444443</v>
      </c>
      <c r="BD14" s="598">
        <f>Table35[[#This Row],[Total Staff Costs]]/Table35[[#This Row],[Number of pupils (FTE)]]</f>
        <v>5322.2222222222226</v>
      </c>
      <c r="BE14" s="598">
        <f>Table35[[#This Row],[Teaching staff]]/Table35[[#This Row],[Number of teachers in academy (FTE)]]</f>
        <v>21572.580645161292</v>
      </c>
      <c r="BF14" s="599">
        <f>Table35[[#This Row],[Number of pupils (FTE)]]/Table35[[#This Row],[Number of teachers in academy (FTE)]]</f>
        <v>18.14516129032258</v>
      </c>
      <c r="BG14" s="600">
        <f t="shared" si="0"/>
        <v>777.77777777777783</v>
      </c>
      <c r="BH14" s="598">
        <f>Table35[[#This Row],[Premises Costs]]/Table35[[#This Row],[Number of pupils (FTE)]]</f>
        <v>638.88888888888891</v>
      </c>
      <c r="BI14" s="598">
        <f>Table35[[#This Row],[Maintenance &amp; Improvement Costs]]/Table35[[#This Row],[Number of pupils (FTE)]]</f>
        <v>288.88888888888891</v>
      </c>
      <c r="BJ14" s="598" t="e">
        <f>#REF!/E14</f>
        <v>#REF!</v>
      </c>
      <c r="BK14" s="598">
        <f t="shared" si="1"/>
        <v>11.111111111111111</v>
      </c>
      <c r="BL14" s="598">
        <f t="shared" si="2"/>
        <v>22.222222222222221</v>
      </c>
      <c r="BM14" s="598">
        <f t="shared" si="3"/>
        <v>83.333333333333329</v>
      </c>
      <c r="BN14" s="598">
        <f t="shared" si="4"/>
        <v>88.888888888888886</v>
      </c>
      <c r="BO14" s="598">
        <f t="shared" si="5"/>
        <v>22.222222222222221</v>
      </c>
      <c r="BP14" s="598">
        <f t="shared" si="6"/>
        <v>0</v>
      </c>
      <c r="BQ14" s="598">
        <f t="shared" si="7"/>
        <v>172.22222222222223</v>
      </c>
      <c r="BR14" s="598">
        <f t="shared" si="8"/>
        <v>111.11111111111111</v>
      </c>
      <c r="BS14" s="598">
        <f t="shared" si="9"/>
        <v>61.111111111111114</v>
      </c>
    </row>
    <row r="15" spans="1:71" ht="43.5" hidden="1" x14ac:dyDescent="0.35">
      <c r="A15" s="580">
        <v>925</v>
      </c>
      <c r="B15" s="580" t="s">
        <v>489</v>
      </c>
      <c r="C15" s="593" t="s">
        <v>511</v>
      </c>
      <c r="D15" s="593" t="s">
        <v>512</v>
      </c>
      <c r="E15" s="580">
        <v>372</v>
      </c>
      <c r="F15" s="580">
        <v>16</v>
      </c>
      <c r="G15" s="580" t="s">
        <v>500</v>
      </c>
      <c r="H15" s="580">
        <v>15.3</v>
      </c>
      <c r="I15" s="580">
        <v>3</v>
      </c>
      <c r="J15" s="580">
        <v>11.3</v>
      </c>
      <c r="K15" s="580">
        <v>0</v>
      </c>
      <c r="L15" s="581">
        <v>758000</v>
      </c>
      <c r="M15" s="581">
        <v>354000</v>
      </c>
      <c r="N15" s="582">
        <f>Table35[[#This Row],[Total Income]]-Table35[[#This Row],[Total Expenditure]]</f>
        <v>404000</v>
      </c>
      <c r="O15" s="581">
        <v>0</v>
      </c>
      <c r="P15" s="594">
        <v>427000</v>
      </c>
      <c r="Q15" s="594">
        <v>0</v>
      </c>
      <c r="R15" s="594">
        <v>467000</v>
      </c>
      <c r="S15" s="594">
        <v>72000</v>
      </c>
      <c r="T15" s="594">
        <v>0</v>
      </c>
      <c r="U15" s="594">
        <v>1000</v>
      </c>
      <c r="V15" s="594">
        <v>0</v>
      </c>
      <c r="W15" s="594">
        <v>0</v>
      </c>
      <c r="X15" s="594">
        <v>0</v>
      </c>
      <c r="Y15" s="594">
        <v>21000</v>
      </c>
      <c r="Z15" s="581">
        <v>6000</v>
      </c>
      <c r="AA15" s="595">
        <f>M15-Z15-Table35[[#This Row],[Maintenance &amp; Improvement]]-Table35[[#This Row],[Cleaning &amp; Caretaking]]-Table35[[#This Row],[Catering Supply]]</f>
        <v>312000</v>
      </c>
      <c r="AB15" s="581">
        <v>1000</v>
      </c>
      <c r="AC15" s="594">
        <v>1000</v>
      </c>
      <c r="AD15" s="594">
        <v>3000</v>
      </c>
      <c r="AE15" s="594">
        <v>0</v>
      </c>
      <c r="AF15" s="594">
        <v>0</v>
      </c>
      <c r="AG15" s="581">
        <v>4000</v>
      </c>
      <c r="AH15" s="581">
        <v>32000</v>
      </c>
      <c r="AI15" s="596">
        <v>0</v>
      </c>
      <c r="AJ15" s="594">
        <v>32000</v>
      </c>
      <c r="AK15" s="594">
        <v>2000</v>
      </c>
      <c r="AL15" s="594">
        <v>3000</v>
      </c>
      <c r="AM15" s="594">
        <v>11000</v>
      </c>
      <c r="AN15" s="594">
        <v>0</v>
      </c>
      <c r="AO15" s="594">
        <v>1000</v>
      </c>
      <c r="AP15" s="581">
        <v>49000</v>
      </c>
      <c r="AQ15" s="594">
        <v>26000</v>
      </c>
      <c r="AR15" s="594">
        <v>0</v>
      </c>
      <c r="AS15" s="594">
        <v>0</v>
      </c>
      <c r="AT15" s="594">
        <v>0</v>
      </c>
      <c r="AU15" s="581">
        <v>295000</v>
      </c>
      <c r="AV15" s="594">
        <v>26000</v>
      </c>
      <c r="AW15" s="594">
        <v>0</v>
      </c>
      <c r="AX15" s="594">
        <v>0</v>
      </c>
      <c r="AY15" s="581">
        <v>26000</v>
      </c>
      <c r="AZ15" s="594">
        <v>0</v>
      </c>
      <c r="BA15" s="594">
        <v>269000</v>
      </c>
      <c r="BB15" s="581">
        <v>269000</v>
      </c>
      <c r="BC15" s="597">
        <f>Table35[[#This Row],[Total Expenditure]]/Table35[[#This Row],[Number of pupils (FTE)]]</f>
        <v>951.61290322580646</v>
      </c>
      <c r="BD15" s="598">
        <f>Table35[[#This Row],[Total Staff Costs]]/Table35[[#This Row],[Number of pupils (FTE)]]</f>
        <v>16.129032258064516</v>
      </c>
      <c r="BE15" s="598">
        <f>Table35[[#This Row],[Teaching staff]]/Table35[[#This Row],[Number of teachers in academy (FTE)]]</f>
        <v>26687.5</v>
      </c>
      <c r="BF15" s="599">
        <f>Table35[[#This Row],[Number of pupils (FTE)]]/Table35[[#This Row],[Number of teachers in academy (FTE)]]</f>
        <v>23.25</v>
      </c>
      <c r="BG15" s="600">
        <f t="shared" si="0"/>
        <v>838.70967741935488</v>
      </c>
      <c r="BH15" s="598">
        <f>Table35[[#This Row],[Premises Costs]]/Table35[[#This Row],[Number of pupils (FTE)]]</f>
        <v>10.75268817204301</v>
      </c>
      <c r="BI15" s="598">
        <f>Table35[[#This Row],[Maintenance &amp; Improvement Costs]]/Table35[[#This Row],[Number of pupils (FTE)]]</f>
        <v>2.6881720430107525</v>
      </c>
      <c r="BJ15" s="598" t="e">
        <f>#REF!/E15</f>
        <v>#REF!</v>
      </c>
      <c r="BK15" s="598">
        <f t="shared" si="1"/>
        <v>5.376344086021505</v>
      </c>
      <c r="BL15" s="598">
        <f t="shared" si="2"/>
        <v>8.064516129032258</v>
      </c>
      <c r="BM15" s="598">
        <f t="shared" si="3"/>
        <v>29.56989247311828</v>
      </c>
      <c r="BN15" s="598">
        <f t="shared" si="4"/>
        <v>69.892473118279568</v>
      </c>
      <c r="BO15" s="598">
        <f t="shared" si="5"/>
        <v>0</v>
      </c>
      <c r="BP15" s="598">
        <f t="shared" si="6"/>
        <v>0</v>
      </c>
      <c r="BQ15" s="598">
        <f t="shared" si="7"/>
        <v>793.01075268817203</v>
      </c>
      <c r="BR15" s="598">
        <f t="shared" si="8"/>
        <v>69.892473118279568</v>
      </c>
      <c r="BS15" s="598">
        <f t="shared" si="9"/>
        <v>723.11827956989248</v>
      </c>
    </row>
    <row r="16" spans="1:71" ht="29" hidden="1" x14ac:dyDescent="0.35">
      <c r="A16" s="580">
        <v>925</v>
      </c>
      <c r="B16" s="580" t="s">
        <v>489</v>
      </c>
      <c r="C16" s="593" t="s">
        <v>511</v>
      </c>
      <c r="D16" s="593" t="s">
        <v>513</v>
      </c>
      <c r="E16" s="580">
        <v>372</v>
      </c>
      <c r="F16" s="580">
        <v>16</v>
      </c>
      <c r="G16" s="580" t="s">
        <v>500</v>
      </c>
      <c r="H16" s="580">
        <v>15.3</v>
      </c>
      <c r="I16" s="580">
        <v>3</v>
      </c>
      <c r="J16" s="580">
        <v>11.3</v>
      </c>
      <c r="K16" s="580">
        <v>0</v>
      </c>
      <c r="L16" s="581">
        <v>1635000</v>
      </c>
      <c r="M16" s="581">
        <v>1463000</v>
      </c>
      <c r="N16" s="582">
        <f>Table35[[#This Row],[Total Income]]-Table35[[#This Row],[Total Expenditure]]</f>
        <v>172000</v>
      </c>
      <c r="O16" s="581">
        <v>245000</v>
      </c>
      <c r="P16" s="594">
        <v>367000</v>
      </c>
      <c r="Q16" s="594">
        <v>9000</v>
      </c>
      <c r="R16" s="594">
        <v>306000</v>
      </c>
      <c r="S16" s="594">
        <v>45000</v>
      </c>
      <c r="T16" s="594">
        <v>0</v>
      </c>
      <c r="U16" s="594">
        <v>1000</v>
      </c>
      <c r="V16" s="594">
        <v>0</v>
      </c>
      <c r="W16" s="594">
        <v>0</v>
      </c>
      <c r="X16" s="594">
        <v>0</v>
      </c>
      <c r="Y16" s="594">
        <v>0</v>
      </c>
      <c r="Z16" s="581">
        <v>1170000</v>
      </c>
      <c r="AA16" s="595">
        <f>M16-Z16-Table35[[#This Row],[Maintenance &amp; Improvement]]-Table35[[#This Row],[Cleaning &amp; Caretaking]]-Table35[[#This Row],[Catering Supply]]</f>
        <v>211000</v>
      </c>
      <c r="AB16" s="581">
        <v>27000</v>
      </c>
      <c r="AC16" s="594">
        <v>27000</v>
      </c>
      <c r="AD16" s="594">
        <v>1000</v>
      </c>
      <c r="AE16" s="594">
        <v>56000</v>
      </c>
      <c r="AF16" s="594">
        <v>0</v>
      </c>
      <c r="AG16" s="581">
        <v>84000</v>
      </c>
      <c r="AH16" s="581">
        <v>54000</v>
      </c>
      <c r="AI16" s="596">
        <v>0</v>
      </c>
      <c r="AJ16" s="594">
        <v>54000</v>
      </c>
      <c r="AK16" s="594">
        <v>2000</v>
      </c>
      <c r="AL16" s="594">
        <v>7000</v>
      </c>
      <c r="AM16" s="594">
        <v>12000</v>
      </c>
      <c r="AN16" s="594">
        <v>5000</v>
      </c>
      <c r="AO16" s="594">
        <v>16000</v>
      </c>
      <c r="AP16" s="581">
        <v>96000</v>
      </c>
      <c r="AQ16" s="594">
        <v>50000</v>
      </c>
      <c r="AR16" s="594">
        <v>12000</v>
      </c>
      <c r="AS16" s="594">
        <v>0</v>
      </c>
      <c r="AT16" s="594">
        <v>34000</v>
      </c>
      <c r="AU16" s="581">
        <v>113000</v>
      </c>
      <c r="AV16" s="594">
        <v>50000</v>
      </c>
      <c r="AW16" s="594">
        <v>12000</v>
      </c>
      <c r="AX16" s="594">
        <v>0</v>
      </c>
      <c r="AY16" s="581">
        <v>62000</v>
      </c>
      <c r="AZ16" s="594">
        <v>8000</v>
      </c>
      <c r="BA16" s="594">
        <v>9000</v>
      </c>
      <c r="BB16" s="581">
        <v>17000</v>
      </c>
      <c r="BC16" s="597">
        <f>Table35[[#This Row],[Total Expenditure]]/Table35[[#This Row],[Number of pupils (FTE)]]</f>
        <v>3932.7956989247314</v>
      </c>
      <c r="BD16" s="598">
        <f>Table35[[#This Row],[Total Staff Costs]]/Table35[[#This Row],[Number of pupils (FTE)]]</f>
        <v>3145.1612903225805</v>
      </c>
      <c r="BE16" s="598">
        <f>Table35[[#This Row],[Teaching staff]]/Table35[[#This Row],[Number of teachers in academy (FTE)]]</f>
        <v>22937.5</v>
      </c>
      <c r="BF16" s="599">
        <f>Table35[[#This Row],[Number of pupils (FTE)]]/Table35[[#This Row],[Number of teachers in academy (FTE)]]</f>
        <v>23.25</v>
      </c>
      <c r="BG16" s="600">
        <f t="shared" si="0"/>
        <v>567.20430107526886</v>
      </c>
      <c r="BH16" s="598">
        <f>Table35[[#This Row],[Premises Costs]]/Table35[[#This Row],[Number of pupils (FTE)]]</f>
        <v>225.80645161290323</v>
      </c>
      <c r="BI16" s="598">
        <f>Table35[[#This Row],[Maintenance &amp; Improvement Costs]]/Table35[[#This Row],[Number of pupils (FTE)]]</f>
        <v>72.58064516129032</v>
      </c>
      <c r="BJ16" s="598" t="e">
        <f>#REF!/E16</f>
        <v>#REF!</v>
      </c>
      <c r="BK16" s="598">
        <f t="shared" si="1"/>
        <v>5.376344086021505</v>
      </c>
      <c r="BL16" s="598">
        <f t="shared" si="2"/>
        <v>18.817204301075268</v>
      </c>
      <c r="BM16" s="598">
        <f t="shared" si="3"/>
        <v>32.258064516129032</v>
      </c>
      <c r="BN16" s="598">
        <f t="shared" si="4"/>
        <v>134.40860215053763</v>
      </c>
      <c r="BO16" s="598">
        <f t="shared" si="5"/>
        <v>32.258064516129032</v>
      </c>
      <c r="BP16" s="598">
        <f t="shared" si="6"/>
        <v>91.397849462365585</v>
      </c>
      <c r="BQ16" s="598">
        <f t="shared" si="7"/>
        <v>303.76344086021504</v>
      </c>
      <c r="BR16" s="598">
        <f t="shared" si="8"/>
        <v>166.66666666666666</v>
      </c>
      <c r="BS16" s="598">
        <f t="shared" si="9"/>
        <v>45.698924731182792</v>
      </c>
    </row>
    <row r="17" spans="1:71" ht="29" hidden="1" x14ac:dyDescent="0.35">
      <c r="A17" s="580">
        <v>925</v>
      </c>
      <c r="B17" s="580" t="s">
        <v>489</v>
      </c>
      <c r="C17" s="593" t="s">
        <v>514</v>
      </c>
      <c r="D17" s="593" t="s">
        <v>508</v>
      </c>
      <c r="E17" s="580">
        <v>415</v>
      </c>
      <c r="F17" s="580">
        <v>16.11</v>
      </c>
      <c r="G17" s="580" t="s">
        <v>500</v>
      </c>
      <c r="H17" s="580">
        <v>32.200000000000003</v>
      </c>
      <c r="I17" s="580">
        <v>4.8</v>
      </c>
      <c r="J17" s="580">
        <v>13.7</v>
      </c>
      <c r="K17" s="580">
        <v>0</v>
      </c>
      <c r="L17" s="581">
        <v>2741000</v>
      </c>
      <c r="M17" s="581">
        <v>2509000</v>
      </c>
      <c r="N17" s="582">
        <f>Table35[[#This Row],[Total Income]]-Table35[[#This Row],[Total Expenditure]]</f>
        <v>232000</v>
      </c>
      <c r="O17" s="581">
        <v>500000</v>
      </c>
      <c r="P17" s="594">
        <v>649000</v>
      </c>
      <c r="Q17" s="594">
        <v>0</v>
      </c>
      <c r="R17" s="594">
        <v>536000</v>
      </c>
      <c r="S17" s="594">
        <v>72000</v>
      </c>
      <c r="T17" s="594">
        <v>0</v>
      </c>
      <c r="U17" s="594">
        <v>1000</v>
      </c>
      <c r="V17" s="594">
        <v>0</v>
      </c>
      <c r="W17" s="594">
        <v>0</v>
      </c>
      <c r="X17" s="594">
        <v>0</v>
      </c>
      <c r="Y17" s="594">
        <v>23000</v>
      </c>
      <c r="Z17" s="581">
        <v>1960000</v>
      </c>
      <c r="AA17" s="595">
        <f>M17-Z17-Table35[[#This Row],[Maintenance &amp; Improvement]]-Table35[[#This Row],[Cleaning &amp; Caretaking]]-Table35[[#This Row],[Catering Supply]]</f>
        <v>310000</v>
      </c>
      <c r="AB17" s="581">
        <v>68000</v>
      </c>
      <c r="AC17" s="594">
        <v>68000</v>
      </c>
      <c r="AD17" s="594">
        <v>38000</v>
      </c>
      <c r="AE17" s="594">
        <v>36000</v>
      </c>
      <c r="AF17" s="594">
        <v>0</v>
      </c>
      <c r="AG17" s="581">
        <v>142000</v>
      </c>
      <c r="AH17" s="581">
        <v>133000</v>
      </c>
      <c r="AI17" s="596">
        <v>0</v>
      </c>
      <c r="AJ17" s="594">
        <v>133000</v>
      </c>
      <c r="AK17" s="594">
        <v>5000</v>
      </c>
      <c r="AL17" s="594">
        <v>13000</v>
      </c>
      <c r="AM17" s="594">
        <v>43000</v>
      </c>
      <c r="AN17" s="594">
        <v>9000</v>
      </c>
      <c r="AO17" s="594">
        <v>15000</v>
      </c>
      <c r="AP17" s="581">
        <v>218000</v>
      </c>
      <c r="AQ17" s="594">
        <v>85000</v>
      </c>
      <c r="AR17" s="594">
        <v>74000</v>
      </c>
      <c r="AS17" s="594">
        <v>0</v>
      </c>
      <c r="AT17" s="594">
        <v>9000</v>
      </c>
      <c r="AU17" s="581">
        <v>188000</v>
      </c>
      <c r="AV17" s="594">
        <v>85000</v>
      </c>
      <c r="AW17" s="594">
        <v>74000</v>
      </c>
      <c r="AX17" s="594">
        <v>0</v>
      </c>
      <c r="AY17" s="581">
        <v>159000</v>
      </c>
      <c r="AZ17" s="594">
        <v>19000</v>
      </c>
      <c r="BA17" s="594">
        <v>1000</v>
      </c>
      <c r="BB17" s="581">
        <v>20000</v>
      </c>
      <c r="BC17" s="597">
        <f>Table35[[#This Row],[Total Expenditure]]/Table35[[#This Row],[Number of pupils (FTE)]]</f>
        <v>6045.7831325301204</v>
      </c>
      <c r="BD17" s="598">
        <f>Table35[[#This Row],[Total Staff Costs]]/Table35[[#This Row],[Number of pupils (FTE)]]</f>
        <v>4722.8915662650606</v>
      </c>
      <c r="BE17" s="598">
        <f>Table35[[#This Row],[Teaching staff]]/Table35[[#This Row],[Number of teachers in academy (FTE)]]</f>
        <v>40285.536933581629</v>
      </c>
      <c r="BF17" s="599">
        <f>Table35[[#This Row],[Number of pupils (FTE)]]/Table35[[#This Row],[Number of teachers in academy (FTE)]]</f>
        <v>25.760397268777158</v>
      </c>
      <c r="BG17" s="600">
        <f t="shared" si="0"/>
        <v>746.98795180722891</v>
      </c>
      <c r="BH17" s="598">
        <f>Table35[[#This Row],[Premises Costs]]/Table35[[#This Row],[Number of pupils (FTE)]]</f>
        <v>342.1686746987952</v>
      </c>
      <c r="BI17" s="598">
        <f>Table35[[#This Row],[Maintenance &amp; Improvement Costs]]/Table35[[#This Row],[Number of pupils (FTE)]]</f>
        <v>163.85542168674698</v>
      </c>
      <c r="BJ17" s="598" t="e">
        <f>#REF!/E17</f>
        <v>#REF!</v>
      </c>
      <c r="BK17" s="598">
        <f t="shared" si="1"/>
        <v>12.048192771084338</v>
      </c>
      <c r="BL17" s="598">
        <f t="shared" si="2"/>
        <v>31.325301204819276</v>
      </c>
      <c r="BM17" s="598">
        <f t="shared" si="3"/>
        <v>103.6144578313253</v>
      </c>
      <c r="BN17" s="598">
        <f t="shared" si="4"/>
        <v>204.81927710843374</v>
      </c>
      <c r="BO17" s="598">
        <f t="shared" si="5"/>
        <v>178.31325301204819</v>
      </c>
      <c r="BP17" s="598">
        <f t="shared" si="6"/>
        <v>21.686746987951807</v>
      </c>
      <c r="BQ17" s="598">
        <f t="shared" si="7"/>
        <v>453.01204819277109</v>
      </c>
      <c r="BR17" s="598">
        <f t="shared" si="8"/>
        <v>383.13253012048193</v>
      </c>
      <c r="BS17" s="598">
        <f t="shared" si="9"/>
        <v>48.192771084337352</v>
      </c>
    </row>
    <row r="18" spans="1:71" ht="29" hidden="1" x14ac:dyDescent="0.35">
      <c r="A18" s="580">
        <v>925</v>
      </c>
      <c r="B18" s="580" t="s">
        <v>489</v>
      </c>
      <c r="C18" s="593" t="s">
        <v>515</v>
      </c>
      <c r="D18" s="593" t="s">
        <v>516</v>
      </c>
      <c r="E18" s="580">
        <v>88</v>
      </c>
      <c r="F18" s="580">
        <v>5</v>
      </c>
      <c r="G18" s="580" t="s">
        <v>500</v>
      </c>
      <c r="H18" s="580">
        <v>21.6</v>
      </c>
      <c r="I18" s="580">
        <v>3.4</v>
      </c>
      <c r="J18" s="580">
        <v>15.9</v>
      </c>
      <c r="K18" s="580">
        <v>0</v>
      </c>
      <c r="L18" s="581">
        <v>722000</v>
      </c>
      <c r="M18" s="581">
        <v>669000</v>
      </c>
      <c r="N18" s="582">
        <f>Table35[[#This Row],[Total Income]]-Table35[[#This Row],[Total Expenditure]]</f>
        <v>53000</v>
      </c>
      <c r="O18" s="581">
        <v>0</v>
      </c>
      <c r="P18" s="594">
        <v>1467563</v>
      </c>
      <c r="Q18" s="594">
        <v>0</v>
      </c>
      <c r="R18" s="594">
        <v>211903</v>
      </c>
      <c r="S18" s="594">
        <v>390920</v>
      </c>
      <c r="T18" s="594">
        <v>431654</v>
      </c>
      <c r="U18" s="594">
        <v>94114</v>
      </c>
      <c r="V18" s="594">
        <v>9372</v>
      </c>
      <c r="W18" s="594">
        <v>14476</v>
      </c>
      <c r="X18" s="594">
        <v>0</v>
      </c>
      <c r="Y18" s="594">
        <v>1920</v>
      </c>
      <c r="Z18" s="581">
        <v>526000</v>
      </c>
      <c r="AA18" s="595">
        <f>M18-Z18-Table35[[#This Row],[Maintenance &amp; Improvement]]-Table35[[#This Row],[Cleaning &amp; Caretaking]]-Table35[[#This Row],[Catering Supply]]</f>
        <v>107000</v>
      </c>
      <c r="AB18" s="581">
        <v>6000</v>
      </c>
      <c r="AC18" s="594">
        <v>6000</v>
      </c>
      <c r="AD18" s="594">
        <v>3000</v>
      </c>
      <c r="AE18" s="594">
        <v>27000</v>
      </c>
      <c r="AF18" s="594">
        <v>0</v>
      </c>
      <c r="AG18" s="581">
        <v>36000</v>
      </c>
      <c r="AH18" s="581">
        <v>27000</v>
      </c>
      <c r="AI18" s="596">
        <v>0</v>
      </c>
      <c r="AJ18" s="594">
        <v>27000</v>
      </c>
      <c r="AK18" s="594">
        <v>1000</v>
      </c>
      <c r="AL18" s="594">
        <v>4000</v>
      </c>
      <c r="AM18" s="594">
        <v>14000</v>
      </c>
      <c r="AN18" s="594">
        <v>2000</v>
      </c>
      <c r="AO18" s="594">
        <v>3000</v>
      </c>
      <c r="AP18" s="581">
        <v>51000</v>
      </c>
      <c r="AQ18" s="594">
        <v>25000</v>
      </c>
      <c r="AR18" s="594">
        <v>4000</v>
      </c>
      <c r="AS18" s="594">
        <v>0</v>
      </c>
      <c r="AT18" s="594">
        <v>15000</v>
      </c>
      <c r="AU18" s="581">
        <v>56000</v>
      </c>
      <c r="AV18" s="594">
        <v>25000</v>
      </c>
      <c r="AW18" s="594">
        <v>4000</v>
      </c>
      <c r="AX18" s="594">
        <v>0</v>
      </c>
      <c r="AY18" s="581">
        <v>29000</v>
      </c>
      <c r="AZ18" s="594">
        <v>12000</v>
      </c>
      <c r="BA18" s="594">
        <v>0</v>
      </c>
      <c r="BB18" s="581">
        <v>12000</v>
      </c>
      <c r="BC18" s="597">
        <f>Table35[[#This Row],[Total Expenditure]]/Table35[[#This Row],[Number of pupils (FTE)]]</f>
        <v>7602.272727272727</v>
      </c>
      <c r="BD18" s="598">
        <f>Table35[[#This Row],[Total Staff Costs]]/Table35[[#This Row],[Number of pupils (FTE)]]</f>
        <v>5977.272727272727</v>
      </c>
      <c r="BE18" s="598">
        <f>Table35[[#This Row],[Teaching staff]]/Table35[[#This Row],[Number of teachers in academy (FTE)]]</f>
        <v>293512.59999999998</v>
      </c>
      <c r="BF18" s="599">
        <f>Table35[[#This Row],[Number of pupils (FTE)]]/Table35[[#This Row],[Number of teachers in academy (FTE)]]</f>
        <v>17.600000000000001</v>
      </c>
      <c r="BG18" s="600">
        <f t="shared" si="0"/>
        <v>1215.909090909091</v>
      </c>
      <c r="BH18" s="598">
        <f>Table35[[#This Row],[Premises Costs]]/Table35[[#This Row],[Number of pupils (FTE)]]</f>
        <v>409.09090909090907</v>
      </c>
      <c r="BI18" s="598">
        <f>Table35[[#This Row],[Maintenance &amp; Improvement Costs]]/Table35[[#This Row],[Number of pupils (FTE)]]</f>
        <v>68.181818181818187</v>
      </c>
      <c r="BJ18" s="598" t="e">
        <f>#REF!/E18</f>
        <v>#REF!</v>
      </c>
      <c r="BK18" s="598">
        <f t="shared" si="1"/>
        <v>11.363636363636363</v>
      </c>
      <c r="BL18" s="598">
        <f t="shared" si="2"/>
        <v>45.454545454545453</v>
      </c>
      <c r="BM18" s="598">
        <f t="shared" si="3"/>
        <v>159.09090909090909</v>
      </c>
      <c r="BN18" s="598">
        <f t="shared" si="4"/>
        <v>284.09090909090907</v>
      </c>
      <c r="BO18" s="598">
        <f t="shared" si="5"/>
        <v>45.454545454545453</v>
      </c>
      <c r="BP18" s="598">
        <f t="shared" si="6"/>
        <v>170.45454545454547</v>
      </c>
      <c r="BQ18" s="598">
        <f t="shared" si="7"/>
        <v>636.36363636363637</v>
      </c>
      <c r="BR18" s="598">
        <f t="shared" si="8"/>
        <v>329.54545454545456</v>
      </c>
      <c r="BS18" s="598">
        <f t="shared" si="9"/>
        <v>136.36363636363637</v>
      </c>
    </row>
    <row r="19" spans="1:71" ht="29" hidden="1" x14ac:dyDescent="0.35">
      <c r="A19" s="580">
        <v>925</v>
      </c>
      <c r="B19" s="580" t="s">
        <v>489</v>
      </c>
      <c r="C19" s="593" t="s">
        <v>517</v>
      </c>
      <c r="D19" s="593" t="s">
        <v>499</v>
      </c>
      <c r="E19" s="580">
        <v>207</v>
      </c>
      <c r="F19" s="580">
        <v>8.8000000000000007</v>
      </c>
      <c r="G19" s="580" t="s">
        <v>500</v>
      </c>
      <c r="H19" s="580">
        <v>33.799999999999997</v>
      </c>
      <c r="I19" s="580">
        <v>7.3</v>
      </c>
      <c r="J19" s="580">
        <v>19.8</v>
      </c>
      <c r="K19" s="580">
        <v>0</v>
      </c>
      <c r="L19" s="581">
        <v>1585000</v>
      </c>
      <c r="M19" s="581">
        <v>1294000</v>
      </c>
      <c r="N19" s="582">
        <f>Table35[[#This Row],[Total Income]]-Table35[[#This Row],[Total Expenditure]]</f>
        <v>291000</v>
      </c>
      <c r="O19" s="581">
        <v>342000</v>
      </c>
      <c r="P19" s="594">
        <v>2467811</v>
      </c>
      <c r="Q19" s="594">
        <v>0</v>
      </c>
      <c r="R19" s="594">
        <v>2450088</v>
      </c>
      <c r="S19" s="594">
        <v>155186</v>
      </c>
      <c r="T19" s="594">
        <v>187281</v>
      </c>
      <c r="U19" s="594">
        <v>23777</v>
      </c>
      <c r="V19" s="594">
        <v>24786</v>
      </c>
      <c r="W19" s="594">
        <v>39074</v>
      </c>
      <c r="X19" s="594">
        <v>40120</v>
      </c>
      <c r="Y19" s="594">
        <v>474607</v>
      </c>
      <c r="Z19" s="581">
        <v>1072000</v>
      </c>
      <c r="AA19" s="595">
        <f>M19-Z19-Table35[[#This Row],[Maintenance &amp; Improvement]]-Table35[[#This Row],[Cleaning &amp; Caretaking]]-Table35[[#This Row],[Catering Supply]]</f>
        <v>134000</v>
      </c>
      <c r="AB19" s="581">
        <v>10000</v>
      </c>
      <c r="AC19" s="594">
        <v>10000</v>
      </c>
      <c r="AD19" s="594">
        <v>12000</v>
      </c>
      <c r="AE19" s="594">
        <v>0</v>
      </c>
      <c r="AF19" s="594">
        <v>0</v>
      </c>
      <c r="AG19" s="581">
        <v>22000</v>
      </c>
      <c r="AH19" s="581">
        <v>66000</v>
      </c>
      <c r="AI19" s="596">
        <v>0</v>
      </c>
      <c r="AJ19" s="594">
        <v>66000</v>
      </c>
      <c r="AK19" s="594">
        <v>2000</v>
      </c>
      <c r="AL19" s="594">
        <v>7000</v>
      </c>
      <c r="AM19" s="594">
        <v>24000</v>
      </c>
      <c r="AN19" s="594">
        <v>7000</v>
      </c>
      <c r="AO19" s="594">
        <v>28000</v>
      </c>
      <c r="AP19" s="581">
        <v>134000</v>
      </c>
      <c r="AQ19" s="594">
        <v>42000</v>
      </c>
      <c r="AR19" s="594">
        <v>3000</v>
      </c>
      <c r="AS19" s="594">
        <v>0</v>
      </c>
      <c r="AT19" s="594">
        <v>0</v>
      </c>
      <c r="AU19" s="581">
        <v>66000</v>
      </c>
      <c r="AV19" s="594">
        <v>42000</v>
      </c>
      <c r="AW19" s="594">
        <v>3000</v>
      </c>
      <c r="AX19" s="594">
        <v>0</v>
      </c>
      <c r="AY19" s="581">
        <v>45000</v>
      </c>
      <c r="AZ19" s="594">
        <v>18000</v>
      </c>
      <c r="BA19" s="594">
        <v>3000</v>
      </c>
      <c r="BB19" s="581">
        <v>21000</v>
      </c>
      <c r="BC19" s="597">
        <f>Table35[[#This Row],[Total Expenditure]]/Table35[[#This Row],[Number of pupils (FTE)]]</f>
        <v>6251.2077294685987</v>
      </c>
      <c r="BD19" s="598">
        <f>Table35[[#This Row],[Total Staff Costs]]/Table35[[#This Row],[Number of pupils (FTE)]]</f>
        <v>5178.7439613526567</v>
      </c>
      <c r="BE19" s="598">
        <f>Table35[[#This Row],[Teaching staff]]/Table35[[#This Row],[Number of teachers in academy (FTE)]]</f>
        <v>280433.06818181818</v>
      </c>
      <c r="BF19" s="599">
        <f>Table35[[#This Row],[Number of pupils (FTE)]]/Table35[[#This Row],[Number of teachers in academy (FTE)]]</f>
        <v>23.52272727272727</v>
      </c>
      <c r="BG19" s="600">
        <f t="shared" si="0"/>
        <v>647.34299516908209</v>
      </c>
      <c r="BH19" s="598">
        <f>Table35[[#This Row],[Premises Costs]]/Table35[[#This Row],[Number of pupils (FTE)]]</f>
        <v>106.28019323671498</v>
      </c>
      <c r="BI19" s="598">
        <f>Table35[[#This Row],[Maintenance &amp; Improvement Costs]]/Table35[[#This Row],[Number of pupils (FTE)]]</f>
        <v>48.309178743961354</v>
      </c>
      <c r="BJ19" s="598" t="e">
        <f>#REF!/E19</f>
        <v>#REF!</v>
      </c>
      <c r="BK19" s="598">
        <f t="shared" si="1"/>
        <v>9.6618357487922708</v>
      </c>
      <c r="BL19" s="598">
        <f t="shared" si="2"/>
        <v>33.816425120772948</v>
      </c>
      <c r="BM19" s="598">
        <f t="shared" si="3"/>
        <v>115.94202898550725</v>
      </c>
      <c r="BN19" s="598">
        <f t="shared" si="4"/>
        <v>202.89855072463769</v>
      </c>
      <c r="BO19" s="598">
        <f t="shared" si="5"/>
        <v>14.492753623188406</v>
      </c>
      <c r="BP19" s="598">
        <f t="shared" si="6"/>
        <v>0</v>
      </c>
      <c r="BQ19" s="598">
        <f t="shared" si="7"/>
        <v>318.84057971014494</v>
      </c>
      <c r="BR19" s="598">
        <f t="shared" si="8"/>
        <v>217.39130434782609</v>
      </c>
      <c r="BS19" s="598">
        <f t="shared" si="9"/>
        <v>101.44927536231884</v>
      </c>
    </row>
    <row r="20" spans="1:71" ht="43.5" hidden="1" x14ac:dyDescent="0.35">
      <c r="A20" s="580">
        <v>925</v>
      </c>
      <c r="B20" s="580" t="s">
        <v>489</v>
      </c>
      <c r="C20" s="593" t="s">
        <v>518</v>
      </c>
      <c r="D20" s="593" t="s">
        <v>519</v>
      </c>
      <c r="E20" s="580">
        <v>181</v>
      </c>
      <c r="F20" s="580">
        <v>7.28</v>
      </c>
      <c r="G20" s="580" t="s">
        <v>500</v>
      </c>
      <c r="H20" s="580">
        <v>62.4</v>
      </c>
      <c r="I20" s="580">
        <v>3.9</v>
      </c>
      <c r="J20" s="580">
        <v>21</v>
      </c>
      <c r="K20" s="580">
        <v>0</v>
      </c>
      <c r="L20" s="581">
        <v>1564000</v>
      </c>
      <c r="M20" s="581">
        <v>1266000</v>
      </c>
      <c r="N20" s="582">
        <f>Table35[[#This Row],[Total Income]]-Table35[[#This Row],[Total Expenditure]]</f>
        <v>298000</v>
      </c>
      <c r="O20" s="581">
        <v>0</v>
      </c>
      <c r="P20" s="594">
        <v>1524944</v>
      </c>
      <c r="Q20" s="594">
        <v>49852</v>
      </c>
      <c r="R20" s="594">
        <v>2531953</v>
      </c>
      <c r="S20" s="594">
        <v>211772</v>
      </c>
      <c r="T20" s="594">
        <v>58011</v>
      </c>
      <c r="U20" s="594">
        <v>37104</v>
      </c>
      <c r="V20" s="594">
        <v>9089</v>
      </c>
      <c r="W20" s="594">
        <v>47890</v>
      </c>
      <c r="X20" s="594">
        <v>28372</v>
      </c>
      <c r="Y20" s="594">
        <v>30462</v>
      </c>
      <c r="Z20" s="581">
        <v>910000</v>
      </c>
      <c r="AA20" s="595">
        <f>M20-Z20-Table35[[#This Row],[Maintenance &amp; Improvement]]-Table35[[#This Row],[Cleaning &amp; Caretaking]]-Table35[[#This Row],[Catering Supply]]</f>
        <v>250000</v>
      </c>
      <c r="AB20" s="581">
        <v>19000</v>
      </c>
      <c r="AC20" s="594">
        <v>19000</v>
      </c>
      <c r="AD20" s="594">
        <v>3000</v>
      </c>
      <c r="AE20" s="594">
        <v>82000</v>
      </c>
      <c r="AF20" s="594">
        <v>0</v>
      </c>
      <c r="AG20" s="581">
        <v>104000</v>
      </c>
      <c r="AH20" s="581">
        <v>105000</v>
      </c>
      <c r="AI20" s="596">
        <v>21000</v>
      </c>
      <c r="AJ20" s="594">
        <v>84000</v>
      </c>
      <c r="AK20" s="594">
        <v>5000</v>
      </c>
      <c r="AL20" s="594">
        <v>7000</v>
      </c>
      <c r="AM20" s="594">
        <v>45000</v>
      </c>
      <c r="AN20" s="594">
        <v>0</v>
      </c>
      <c r="AO20" s="594">
        <v>5000</v>
      </c>
      <c r="AP20" s="581">
        <v>167000</v>
      </c>
      <c r="AQ20" s="594">
        <v>52000</v>
      </c>
      <c r="AR20" s="594">
        <v>6000</v>
      </c>
      <c r="AS20" s="594">
        <v>0</v>
      </c>
      <c r="AT20" s="594">
        <v>4000</v>
      </c>
      <c r="AU20" s="581">
        <v>85000</v>
      </c>
      <c r="AV20" s="594">
        <v>52000</v>
      </c>
      <c r="AW20" s="594">
        <v>6000</v>
      </c>
      <c r="AX20" s="594">
        <v>0</v>
      </c>
      <c r="AY20" s="581">
        <v>58000</v>
      </c>
      <c r="AZ20" s="594">
        <v>22000</v>
      </c>
      <c r="BA20" s="594">
        <v>1000</v>
      </c>
      <c r="BB20" s="581">
        <v>23000</v>
      </c>
      <c r="BC20" s="597">
        <f>Table35[[#This Row],[Total Expenditure]]/Table35[[#This Row],[Number of pupils (FTE)]]</f>
        <v>6994.4751381215474</v>
      </c>
      <c r="BD20" s="598">
        <f>Table35[[#This Row],[Total Staff Costs]]/Table35[[#This Row],[Number of pupils (FTE)]]</f>
        <v>5027.6243093922649</v>
      </c>
      <c r="BE20" s="598">
        <f>Table35[[#This Row],[Teaching staff]]/Table35[[#This Row],[Number of teachers in academy (FTE)]]</f>
        <v>209470.32967032967</v>
      </c>
      <c r="BF20" s="599">
        <f>Table35[[#This Row],[Number of pupils (FTE)]]/Table35[[#This Row],[Number of teachers in academy (FTE)]]</f>
        <v>24.862637362637361</v>
      </c>
      <c r="BG20" s="600">
        <f t="shared" si="0"/>
        <v>1381.2154696132598</v>
      </c>
      <c r="BH20" s="598">
        <f>Table35[[#This Row],[Premises Costs]]/Table35[[#This Row],[Number of pupils (FTE)]]</f>
        <v>574.58563535911605</v>
      </c>
      <c r="BI20" s="598">
        <f>Table35[[#This Row],[Maintenance &amp; Improvement Costs]]/Table35[[#This Row],[Number of pupils (FTE)]]</f>
        <v>104.97237569060773</v>
      </c>
      <c r="BJ20" s="598" t="e">
        <f>#REF!/E20</f>
        <v>#REF!</v>
      </c>
      <c r="BK20" s="598">
        <f t="shared" si="1"/>
        <v>27.624309392265193</v>
      </c>
      <c r="BL20" s="598">
        <f t="shared" si="2"/>
        <v>38.674033149171272</v>
      </c>
      <c r="BM20" s="598">
        <f t="shared" si="3"/>
        <v>248.61878453038673</v>
      </c>
      <c r="BN20" s="598">
        <f t="shared" si="4"/>
        <v>287.29281767955803</v>
      </c>
      <c r="BO20" s="598">
        <f t="shared" si="5"/>
        <v>33.149171270718234</v>
      </c>
      <c r="BP20" s="598">
        <f t="shared" si="6"/>
        <v>22.099447513812155</v>
      </c>
      <c r="BQ20" s="598">
        <f t="shared" si="7"/>
        <v>469.61325966850831</v>
      </c>
      <c r="BR20" s="598">
        <f t="shared" si="8"/>
        <v>320.44198895027625</v>
      </c>
      <c r="BS20" s="598">
        <f t="shared" si="9"/>
        <v>127.07182320441989</v>
      </c>
    </row>
    <row r="21" spans="1:71" ht="29" hidden="1" x14ac:dyDescent="0.35">
      <c r="A21" s="580">
        <v>925</v>
      </c>
      <c r="B21" s="580" t="s">
        <v>489</v>
      </c>
      <c r="C21" s="593" t="s">
        <v>520</v>
      </c>
      <c r="D21" s="593" t="s">
        <v>521</v>
      </c>
      <c r="E21" s="580">
        <v>271</v>
      </c>
      <c r="F21" s="580">
        <v>11.6</v>
      </c>
      <c r="G21" s="580" t="s">
        <v>500</v>
      </c>
      <c r="H21" s="580">
        <v>17</v>
      </c>
      <c r="I21" s="580">
        <v>4.4000000000000004</v>
      </c>
      <c r="J21" s="580">
        <v>5.9</v>
      </c>
      <c r="K21" s="580">
        <v>0</v>
      </c>
      <c r="L21" s="581">
        <v>1747000</v>
      </c>
      <c r="M21" s="581">
        <v>1772000</v>
      </c>
      <c r="N21" s="582">
        <f>Table35[[#This Row],[Total Income]]-Table35[[#This Row],[Total Expenditure]]</f>
        <v>-25000</v>
      </c>
      <c r="O21" s="581">
        <v>111000</v>
      </c>
      <c r="P21" s="594">
        <v>907242</v>
      </c>
      <c r="Q21" s="594">
        <v>0</v>
      </c>
      <c r="R21" s="594">
        <v>650419</v>
      </c>
      <c r="S21" s="594">
        <v>174562</v>
      </c>
      <c r="T21" s="594">
        <v>5739</v>
      </c>
      <c r="U21" s="594">
        <v>9924</v>
      </c>
      <c r="V21" s="594">
        <v>24412</v>
      </c>
      <c r="W21" s="594">
        <v>6537</v>
      </c>
      <c r="X21" s="594">
        <v>8364</v>
      </c>
      <c r="Y21" s="594">
        <v>29512</v>
      </c>
      <c r="Z21" s="581">
        <v>1456000</v>
      </c>
      <c r="AA21" s="595">
        <f>M21-Z21-Table35[[#This Row],[Maintenance &amp; Improvement]]-Table35[[#This Row],[Cleaning &amp; Caretaking]]-Table35[[#This Row],[Catering Supply]]</f>
        <v>230000</v>
      </c>
      <c r="AB21" s="581">
        <v>6000</v>
      </c>
      <c r="AC21" s="594">
        <v>6000</v>
      </c>
      <c r="AD21" s="594">
        <v>17000</v>
      </c>
      <c r="AE21" s="594">
        <v>28000</v>
      </c>
      <c r="AF21" s="594">
        <v>0</v>
      </c>
      <c r="AG21" s="581">
        <v>51000</v>
      </c>
      <c r="AH21" s="581">
        <v>63000</v>
      </c>
      <c r="AI21" s="596">
        <v>0</v>
      </c>
      <c r="AJ21" s="594">
        <v>63000</v>
      </c>
      <c r="AK21" s="594">
        <v>3000</v>
      </c>
      <c r="AL21" s="594">
        <v>3000</v>
      </c>
      <c r="AM21" s="594">
        <v>30000</v>
      </c>
      <c r="AN21" s="594">
        <v>6000</v>
      </c>
      <c r="AO21" s="594">
        <v>16000</v>
      </c>
      <c r="AP21" s="581">
        <v>121000</v>
      </c>
      <c r="AQ21" s="594">
        <v>88000</v>
      </c>
      <c r="AR21" s="594">
        <v>15000</v>
      </c>
      <c r="AS21" s="594">
        <v>0</v>
      </c>
      <c r="AT21" s="594">
        <v>23000</v>
      </c>
      <c r="AU21" s="581">
        <v>144000</v>
      </c>
      <c r="AV21" s="594">
        <v>88000</v>
      </c>
      <c r="AW21" s="594">
        <v>15000</v>
      </c>
      <c r="AX21" s="594">
        <v>0</v>
      </c>
      <c r="AY21" s="581">
        <v>103000</v>
      </c>
      <c r="AZ21" s="594">
        <v>0</v>
      </c>
      <c r="BA21" s="594">
        <v>18000</v>
      </c>
      <c r="BB21" s="581">
        <v>18000</v>
      </c>
      <c r="BC21" s="597">
        <f>Table35[[#This Row],[Total Expenditure]]/Table35[[#This Row],[Number of pupils (FTE)]]</f>
        <v>6538.7453874538742</v>
      </c>
      <c r="BD21" s="598">
        <f>Table35[[#This Row],[Total Staff Costs]]/Table35[[#This Row],[Number of pupils (FTE)]]</f>
        <v>5372.6937269372693</v>
      </c>
      <c r="BE21" s="598">
        <f>Table35[[#This Row],[Teaching staff]]/Table35[[#This Row],[Number of teachers in academy (FTE)]]</f>
        <v>78210.517241379319</v>
      </c>
      <c r="BF21" s="599">
        <f>Table35[[#This Row],[Number of pupils (FTE)]]/Table35[[#This Row],[Number of teachers in academy (FTE)]]</f>
        <v>23.362068965517242</v>
      </c>
      <c r="BG21" s="600">
        <f t="shared" si="0"/>
        <v>848.70848708487085</v>
      </c>
      <c r="BH21" s="598">
        <f>Table35[[#This Row],[Premises Costs]]/Table35[[#This Row],[Number of pupils (FTE)]]</f>
        <v>188.19188191881918</v>
      </c>
      <c r="BI21" s="598">
        <f>Table35[[#This Row],[Maintenance &amp; Improvement Costs]]/Table35[[#This Row],[Number of pupils (FTE)]]</f>
        <v>22.140221402214021</v>
      </c>
      <c r="BJ21" s="598" t="e">
        <f>#REF!/E21</f>
        <v>#REF!</v>
      </c>
      <c r="BK21" s="598">
        <f t="shared" si="1"/>
        <v>11.07011070110701</v>
      </c>
      <c r="BL21" s="598">
        <f t="shared" si="2"/>
        <v>11.07011070110701</v>
      </c>
      <c r="BM21" s="598">
        <f t="shared" si="3"/>
        <v>110.70110701107011</v>
      </c>
      <c r="BN21" s="598">
        <f t="shared" si="4"/>
        <v>324.72324723247232</v>
      </c>
      <c r="BO21" s="598">
        <f t="shared" si="5"/>
        <v>55.350553505535053</v>
      </c>
      <c r="BP21" s="598">
        <f t="shared" si="6"/>
        <v>84.870848708487088</v>
      </c>
      <c r="BQ21" s="598">
        <f t="shared" si="7"/>
        <v>531.36531365313658</v>
      </c>
      <c r="BR21" s="598">
        <f t="shared" si="8"/>
        <v>380.07380073800738</v>
      </c>
      <c r="BS21" s="598">
        <f t="shared" si="9"/>
        <v>66.420664206642073</v>
      </c>
    </row>
    <row r="22" spans="1:71" ht="29" hidden="1" x14ac:dyDescent="0.35">
      <c r="A22" s="580">
        <v>925</v>
      </c>
      <c r="B22" s="580" t="s">
        <v>489</v>
      </c>
      <c r="C22" s="593" t="s">
        <v>522</v>
      </c>
      <c r="D22" s="593" t="s">
        <v>510</v>
      </c>
      <c r="E22" s="580">
        <v>272</v>
      </c>
      <c r="F22" s="580">
        <v>12.2</v>
      </c>
      <c r="G22" s="580" t="s">
        <v>500</v>
      </c>
      <c r="H22" s="580">
        <v>36</v>
      </c>
      <c r="I22" s="580">
        <v>4.4000000000000004</v>
      </c>
      <c r="J22" s="580">
        <v>14.3</v>
      </c>
      <c r="K22" s="580">
        <v>0</v>
      </c>
      <c r="L22" s="581">
        <v>1953000</v>
      </c>
      <c r="M22" s="581">
        <v>1614000</v>
      </c>
      <c r="N22" s="582">
        <f>Table35[[#This Row],[Total Income]]-Table35[[#This Row],[Total Expenditure]]</f>
        <v>339000</v>
      </c>
      <c r="O22" s="581">
        <v>0</v>
      </c>
      <c r="P22" s="594">
        <v>1326136</v>
      </c>
      <c r="Q22" s="594">
        <v>2905</v>
      </c>
      <c r="R22" s="594">
        <v>801417</v>
      </c>
      <c r="S22" s="594">
        <v>146249</v>
      </c>
      <c r="T22" s="594">
        <v>79759</v>
      </c>
      <c r="U22" s="594">
        <v>17078</v>
      </c>
      <c r="V22" s="594">
        <v>18341</v>
      </c>
      <c r="W22" s="594">
        <v>7911</v>
      </c>
      <c r="X22" s="594">
        <v>14498</v>
      </c>
      <c r="Y22" s="594">
        <v>117954</v>
      </c>
      <c r="Z22" s="581">
        <v>1221000</v>
      </c>
      <c r="AA22" s="595">
        <f>M22-Z22-Table35[[#This Row],[Maintenance &amp; Improvement]]-Table35[[#This Row],[Cleaning &amp; Caretaking]]-Table35[[#This Row],[Catering Supply]]</f>
        <v>235000</v>
      </c>
      <c r="AB22" s="581">
        <v>49000</v>
      </c>
      <c r="AC22" s="594">
        <v>49000</v>
      </c>
      <c r="AD22" s="594">
        <v>4000</v>
      </c>
      <c r="AE22" s="594">
        <v>76000</v>
      </c>
      <c r="AF22" s="594">
        <v>0</v>
      </c>
      <c r="AG22" s="581">
        <v>129000</v>
      </c>
      <c r="AH22" s="581">
        <v>136000</v>
      </c>
      <c r="AI22" s="596">
        <v>31000</v>
      </c>
      <c r="AJ22" s="594">
        <v>105000</v>
      </c>
      <c r="AK22" s="594">
        <v>2000</v>
      </c>
      <c r="AL22" s="594">
        <v>12000</v>
      </c>
      <c r="AM22" s="594">
        <v>40000</v>
      </c>
      <c r="AN22" s="594">
        <v>7000</v>
      </c>
      <c r="AO22" s="594">
        <v>0</v>
      </c>
      <c r="AP22" s="581">
        <v>197000</v>
      </c>
      <c r="AQ22" s="594">
        <v>42000</v>
      </c>
      <c r="AR22" s="594">
        <v>4000</v>
      </c>
      <c r="AS22" s="594">
        <v>0</v>
      </c>
      <c r="AT22" s="594">
        <v>0</v>
      </c>
      <c r="AU22" s="581">
        <v>67000</v>
      </c>
      <c r="AV22" s="594">
        <v>42000</v>
      </c>
      <c r="AW22" s="594">
        <v>4000</v>
      </c>
      <c r="AX22" s="594">
        <v>0</v>
      </c>
      <c r="AY22" s="581">
        <v>46000</v>
      </c>
      <c r="AZ22" s="594">
        <v>21000</v>
      </c>
      <c r="BA22" s="594">
        <v>0</v>
      </c>
      <c r="BB22" s="581">
        <v>21000</v>
      </c>
      <c r="BC22" s="597">
        <f>Table35[[#This Row],[Total Expenditure]]/Table35[[#This Row],[Number of pupils (FTE)]]</f>
        <v>5933.8235294117649</v>
      </c>
      <c r="BD22" s="598">
        <f>Table35[[#This Row],[Total Staff Costs]]/Table35[[#This Row],[Number of pupils (FTE)]]</f>
        <v>4488.9705882352937</v>
      </c>
      <c r="BE22" s="598">
        <f>Table35[[#This Row],[Teaching staff]]/Table35[[#This Row],[Number of teachers in academy (FTE)]]</f>
        <v>108699.67213114754</v>
      </c>
      <c r="BF22" s="599">
        <f>Table35[[#This Row],[Number of pupils (FTE)]]/Table35[[#This Row],[Number of teachers in academy (FTE)]]</f>
        <v>22.295081967213115</v>
      </c>
      <c r="BG22" s="600">
        <f t="shared" si="0"/>
        <v>863.97058823529414</v>
      </c>
      <c r="BH22" s="598">
        <f>Table35[[#This Row],[Premises Costs]]/Table35[[#This Row],[Number of pupils (FTE)]]</f>
        <v>474.26470588235293</v>
      </c>
      <c r="BI22" s="598">
        <f>Table35[[#This Row],[Maintenance &amp; Improvement Costs]]/Table35[[#This Row],[Number of pupils (FTE)]]</f>
        <v>180.14705882352942</v>
      </c>
      <c r="BJ22" s="598" t="e">
        <f>#REF!/E22</f>
        <v>#REF!</v>
      </c>
      <c r="BK22" s="598">
        <f t="shared" si="1"/>
        <v>7.3529411764705879</v>
      </c>
      <c r="BL22" s="598">
        <f t="shared" si="2"/>
        <v>44.117647058823529</v>
      </c>
      <c r="BM22" s="598">
        <f t="shared" si="3"/>
        <v>147.05882352941177</v>
      </c>
      <c r="BN22" s="598">
        <f t="shared" si="4"/>
        <v>154.41176470588235</v>
      </c>
      <c r="BO22" s="598">
        <f t="shared" si="5"/>
        <v>14.705882352941176</v>
      </c>
      <c r="BP22" s="598">
        <f t="shared" si="6"/>
        <v>0</v>
      </c>
      <c r="BQ22" s="598">
        <f t="shared" si="7"/>
        <v>246.3235294117647</v>
      </c>
      <c r="BR22" s="598">
        <f t="shared" si="8"/>
        <v>169.11764705882354</v>
      </c>
      <c r="BS22" s="598">
        <f t="shared" si="9"/>
        <v>77.205882352941174</v>
      </c>
    </row>
    <row r="23" spans="1:71" ht="29" hidden="1" x14ac:dyDescent="0.35">
      <c r="A23" s="580">
        <v>925</v>
      </c>
      <c r="B23" s="580" t="s">
        <v>489</v>
      </c>
      <c r="C23" s="593" t="s">
        <v>523</v>
      </c>
      <c r="D23" s="593" t="s">
        <v>513</v>
      </c>
      <c r="E23" s="580">
        <v>416</v>
      </c>
      <c r="F23" s="580">
        <v>17.7</v>
      </c>
      <c r="G23" s="580" t="s">
        <v>500</v>
      </c>
      <c r="H23" s="580">
        <v>41.1</v>
      </c>
      <c r="I23" s="580">
        <v>2.6</v>
      </c>
      <c r="J23" s="580">
        <v>15.1</v>
      </c>
      <c r="K23" s="580">
        <v>0</v>
      </c>
      <c r="L23" s="581">
        <v>2741000</v>
      </c>
      <c r="M23" s="581">
        <v>2702000</v>
      </c>
      <c r="N23" s="582">
        <f>Table35[[#This Row],[Total Income]]-Table35[[#This Row],[Total Expenditure]]</f>
        <v>39000</v>
      </c>
      <c r="O23" s="581">
        <v>300000</v>
      </c>
      <c r="Z23" s="581">
        <v>2151000</v>
      </c>
      <c r="AA23" s="595">
        <f>M23-Z23-Table35[[#This Row],[Maintenance &amp; Improvement]]-Table35[[#This Row],[Cleaning &amp; Caretaking]]-Table35[[#This Row],[Catering Supply]]</f>
        <v>311000</v>
      </c>
      <c r="AB23" s="581">
        <v>85000</v>
      </c>
      <c r="AC23" s="594">
        <v>85000</v>
      </c>
      <c r="AD23" s="594">
        <v>2000</v>
      </c>
      <c r="AE23" s="594">
        <v>100000</v>
      </c>
      <c r="AF23" s="594">
        <v>0</v>
      </c>
      <c r="AG23" s="581">
        <v>187000</v>
      </c>
      <c r="AH23" s="581">
        <v>153000</v>
      </c>
      <c r="AI23" s="596">
        <v>0</v>
      </c>
      <c r="AJ23" s="594">
        <v>153000</v>
      </c>
      <c r="AK23" s="594">
        <v>7000</v>
      </c>
      <c r="AL23" s="594">
        <v>9000</v>
      </c>
      <c r="AM23" s="594">
        <v>25000</v>
      </c>
      <c r="AN23" s="594">
        <v>10000</v>
      </c>
      <c r="AO23" s="594">
        <v>30000</v>
      </c>
      <c r="AP23" s="581">
        <v>234000</v>
      </c>
      <c r="AQ23" s="594">
        <v>48000</v>
      </c>
      <c r="AR23" s="594">
        <v>8000</v>
      </c>
      <c r="AS23" s="594">
        <v>0</v>
      </c>
      <c r="AT23" s="594">
        <v>38000</v>
      </c>
      <c r="AU23" s="581">
        <v>130000</v>
      </c>
      <c r="AV23" s="594">
        <v>48000</v>
      </c>
      <c r="AW23" s="594">
        <v>8000</v>
      </c>
      <c r="AX23" s="594">
        <v>0</v>
      </c>
      <c r="AY23" s="581">
        <v>56000</v>
      </c>
      <c r="AZ23" s="594">
        <v>33000</v>
      </c>
      <c r="BA23" s="594">
        <v>3000</v>
      </c>
      <c r="BB23" s="581">
        <v>36000</v>
      </c>
      <c r="BC23" s="597">
        <f>Table35[[#This Row],[Total Expenditure]]/Table35[[#This Row],[Number of pupils (FTE)]]</f>
        <v>6495.1923076923076</v>
      </c>
      <c r="BD23" s="598">
        <f>Table35[[#This Row],[Total Staff Costs]]/Table35[[#This Row],[Number of pupils (FTE)]]</f>
        <v>5170.6730769230771</v>
      </c>
      <c r="BE23" s="598">
        <f>Table35[[#This Row],[Teaching staff]]/Table35[[#This Row],[Number of teachers in academy (FTE)]]</f>
        <v>0</v>
      </c>
      <c r="BF23" s="599">
        <f>Table35[[#This Row],[Number of pupils (FTE)]]/Table35[[#This Row],[Number of teachers in academy (FTE)]]</f>
        <v>23.502824858757062</v>
      </c>
      <c r="BG23" s="600">
        <f t="shared" si="0"/>
        <v>747.59615384615381</v>
      </c>
      <c r="BH23" s="598">
        <f>Table35[[#This Row],[Premises Costs]]/Table35[[#This Row],[Number of pupils (FTE)]]</f>
        <v>449.51923076923077</v>
      </c>
      <c r="BI23" s="598">
        <f>Table35[[#This Row],[Maintenance &amp; Improvement Costs]]/Table35[[#This Row],[Number of pupils (FTE)]]</f>
        <v>204.32692307692307</v>
      </c>
      <c r="BJ23" s="598" t="e">
        <f>#REF!/E23</f>
        <v>#REF!</v>
      </c>
      <c r="BK23" s="598">
        <f t="shared" si="1"/>
        <v>16.826923076923077</v>
      </c>
      <c r="BL23" s="598">
        <f t="shared" si="2"/>
        <v>21.634615384615383</v>
      </c>
      <c r="BM23" s="598">
        <f t="shared" si="3"/>
        <v>60.096153846153847</v>
      </c>
      <c r="BN23" s="598">
        <f t="shared" si="4"/>
        <v>115.38461538461539</v>
      </c>
      <c r="BO23" s="598">
        <f t="shared" si="5"/>
        <v>19.23076923076923</v>
      </c>
      <c r="BP23" s="598">
        <f t="shared" si="6"/>
        <v>91.34615384615384</v>
      </c>
      <c r="BQ23" s="598">
        <f t="shared" si="7"/>
        <v>312.5</v>
      </c>
      <c r="BR23" s="598">
        <f t="shared" si="8"/>
        <v>134.61538461538461</v>
      </c>
      <c r="BS23" s="598">
        <f t="shared" si="9"/>
        <v>86.538461538461533</v>
      </c>
    </row>
    <row r="24" spans="1:71" ht="29" hidden="1" x14ac:dyDescent="0.35">
      <c r="A24" s="580">
        <v>925</v>
      </c>
      <c r="B24" s="580" t="s">
        <v>489</v>
      </c>
      <c r="C24" s="593" t="s">
        <v>524</v>
      </c>
      <c r="D24" s="593" t="s">
        <v>508</v>
      </c>
      <c r="E24" s="580">
        <v>282</v>
      </c>
      <c r="F24" s="580">
        <v>11.6</v>
      </c>
      <c r="G24" s="580" t="s">
        <v>500</v>
      </c>
      <c r="H24" s="580">
        <v>16.7</v>
      </c>
      <c r="I24" s="580">
        <v>2.8</v>
      </c>
      <c r="J24" s="580">
        <v>7.1</v>
      </c>
      <c r="K24" s="580">
        <v>0</v>
      </c>
      <c r="L24" s="581">
        <v>1648000</v>
      </c>
      <c r="M24" s="581">
        <v>1554000</v>
      </c>
      <c r="N24" s="582">
        <f>Table35[[#This Row],[Total Income]]-Table35[[#This Row],[Total Expenditure]]</f>
        <v>94000</v>
      </c>
      <c r="O24" s="581">
        <v>236000</v>
      </c>
      <c r="Z24" s="581">
        <v>1155000</v>
      </c>
      <c r="AA24" s="595">
        <f>M24-Z24-Table35[[#This Row],[Maintenance &amp; Improvement]]-Table35[[#This Row],[Cleaning &amp; Caretaking]]-Table35[[#This Row],[Catering Supply]]</f>
        <v>246000</v>
      </c>
      <c r="AB24" s="581">
        <v>54000</v>
      </c>
      <c r="AC24" s="594">
        <v>54000</v>
      </c>
      <c r="AD24" s="594">
        <v>23000</v>
      </c>
      <c r="AE24" s="594">
        <v>34000</v>
      </c>
      <c r="AF24" s="594">
        <v>0</v>
      </c>
      <c r="AG24" s="581">
        <v>111000</v>
      </c>
      <c r="AH24" s="581">
        <v>76000</v>
      </c>
      <c r="AI24" s="596">
        <v>0</v>
      </c>
      <c r="AJ24" s="594">
        <v>76000</v>
      </c>
      <c r="AK24" s="594">
        <v>3000</v>
      </c>
      <c r="AL24" s="594">
        <v>5000</v>
      </c>
      <c r="AM24" s="594">
        <v>22000</v>
      </c>
      <c r="AN24" s="594">
        <v>6000</v>
      </c>
      <c r="AO24" s="594">
        <v>12000</v>
      </c>
      <c r="AP24" s="581">
        <v>124000</v>
      </c>
      <c r="AQ24" s="594">
        <v>60000</v>
      </c>
      <c r="AR24" s="594">
        <v>70000</v>
      </c>
      <c r="AS24" s="594">
        <v>0</v>
      </c>
      <c r="AT24" s="594">
        <v>9000</v>
      </c>
      <c r="AU24" s="581">
        <v>160000</v>
      </c>
      <c r="AV24" s="594">
        <v>60000</v>
      </c>
      <c r="AW24" s="594">
        <v>70000</v>
      </c>
      <c r="AX24" s="594">
        <v>0</v>
      </c>
      <c r="AY24" s="581">
        <v>130000</v>
      </c>
      <c r="AZ24" s="594">
        <v>20000</v>
      </c>
      <c r="BA24" s="594">
        <v>1000</v>
      </c>
      <c r="BB24" s="581">
        <v>21000</v>
      </c>
      <c r="BC24" s="597">
        <f>Table35[[#This Row],[Total Expenditure]]/Table35[[#This Row],[Number of pupils (FTE)]]</f>
        <v>5510.6382978723404</v>
      </c>
      <c r="BD24" s="598">
        <f>Table35[[#This Row],[Total Staff Costs]]/Table35[[#This Row],[Number of pupils (FTE)]]</f>
        <v>4095.744680851064</v>
      </c>
      <c r="BE24" s="598">
        <f>Table35[[#This Row],[Teaching staff]]/Table35[[#This Row],[Number of teachers in academy (FTE)]]</f>
        <v>0</v>
      </c>
      <c r="BF24" s="599">
        <f>Table35[[#This Row],[Number of pupils (FTE)]]/Table35[[#This Row],[Number of teachers in academy (FTE)]]</f>
        <v>24.310344827586206</v>
      </c>
      <c r="BG24" s="600">
        <f t="shared" si="0"/>
        <v>872.34042553191489</v>
      </c>
      <c r="BH24" s="598">
        <f>Table35[[#This Row],[Premises Costs]]/Table35[[#This Row],[Number of pupils (FTE)]]</f>
        <v>393.61702127659572</v>
      </c>
      <c r="BI24" s="598">
        <f>Table35[[#This Row],[Maintenance &amp; Improvement Costs]]/Table35[[#This Row],[Number of pupils (FTE)]]</f>
        <v>191.48936170212767</v>
      </c>
      <c r="BJ24" s="598" t="e">
        <f>#REF!/E24</f>
        <v>#REF!</v>
      </c>
      <c r="BK24" s="598">
        <f t="shared" si="1"/>
        <v>10.638297872340425</v>
      </c>
      <c r="BL24" s="598">
        <f t="shared" si="2"/>
        <v>17.730496453900709</v>
      </c>
      <c r="BM24" s="598">
        <f t="shared" si="3"/>
        <v>78.01418439716312</v>
      </c>
      <c r="BN24" s="598">
        <f t="shared" si="4"/>
        <v>212.7659574468085</v>
      </c>
      <c r="BO24" s="598">
        <f t="shared" si="5"/>
        <v>248.22695035460993</v>
      </c>
      <c r="BP24" s="598">
        <f t="shared" si="6"/>
        <v>31.914893617021278</v>
      </c>
      <c r="BQ24" s="598">
        <f t="shared" si="7"/>
        <v>567.3758865248227</v>
      </c>
      <c r="BR24" s="598">
        <f t="shared" si="8"/>
        <v>460.99290780141843</v>
      </c>
      <c r="BS24" s="598">
        <f t="shared" si="9"/>
        <v>74.468085106382972</v>
      </c>
    </row>
    <row r="25" spans="1:71" ht="29" hidden="1" x14ac:dyDescent="0.35">
      <c r="A25" s="580">
        <v>925</v>
      </c>
      <c r="B25" s="580" t="s">
        <v>489</v>
      </c>
      <c r="C25" s="593" t="s">
        <v>525</v>
      </c>
      <c r="D25" s="593" t="s">
        <v>519</v>
      </c>
      <c r="E25" s="580">
        <v>38</v>
      </c>
      <c r="F25" s="580">
        <v>3.28</v>
      </c>
      <c r="G25" s="580" t="s">
        <v>500</v>
      </c>
      <c r="H25" s="580">
        <v>55.3</v>
      </c>
      <c r="I25" s="580">
        <v>2.6</v>
      </c>
      <c r="J25" s="580">
        <v>23.7</v>
      </c>
      <c r="K25" s="580">
        <v>0</v>
      </c>
      <c r="L25" s="581">
        <v>491000</v>
      </c>
      <c r="M25" s="581">
        <v>400000</v>
      </c>
      <c r="N25" s="582">
        <f>Table35[[#This Row],[Total Income]]-Table35[[#This Row],[Total Expenditure]]</f>
        <v>91000</v>
      </c>
      <c r="O25" s="581">
        <v>0</v>
      </c>
      <c r="Z25" s="581">
        <v>314000</v>
      </c>
      <c r="AA25" s="595">
        <f>M25-Z25-Table35[[#This Row],[Maintenance &amp; Improvement]]-Table35[[#This Row],[Cleaning &amp; Caretaking]]-Table35[[#This Row],[Catering Supply]]</f>
        <v>61000</v>
      </c>
      <c r="AB25" s="581">
        <v>7000</v>
      </c>
      <c r="AC25" s="594">
        <v>7000</v>
      </c>
      <c r="AD25" s="594">
        <v>1000</v>
      </c>
      <c r="AE25" s="594">
        <v>18000</v>
      </c>
      <c r="AF25" s="594">
        <v>0</v>
      </c>
      <c r="AG25" s="581">
        <v>26000</v>
      </c>
      <c r="AH25" s="581">
        <v>17000</v>
      </c>
      <c r="AI25" s="596">
        <v>0</v>
      </c>
      <c r="AJ25" s="594">
        <v>17000</v>
      </c>
      <c r="AK25" s="594">
        <v>0</v>
      </c>
      <c r="AL25" s="594">
        <v>2000</v>
      </c>
      <c r="AM25" s="594">
        <v>11000</v>
      </c>
      <c r="AN25" s="594">
        <v>0</v>
      </c>
      <c r="AO25" s="594">
        <v>1000</v>
      </c>
      <c r="AP25" s="581">
        <v>31000</v>
      </c>
      <c r="AQ25" s="594">
        <v>15000</v>
      </c>
      <c r="AR25" s="594">
        <v>1000</v>
      </c>
      <c r="AS25" s="594">
        <v>0</v>
      </c>
      <c r="AT25" s="594">
        <v>2000</v>
      </c>
      <c r="AU25" s="581">
        <v>29000</v>
      </c>
      <c r="AV25" s="594">
        <v>15000</v>
      </c>
      <c r="AW25" s="594">
        <v>1000</v>
      </c>
      <c r="AX25" s="594">
        <v>0</v>
      </c>
      <c r="AY25" s="581">
        <v>16000</v>
      </c>
      <c r="AZ25" s="594">
        <v>11000</v>
      </c>
      <c r="BA25" s="594">
        <v>0</v>
      </c>
      <c r="BB25" s="581">
        <v>11000</v>
      </c>
      <c r="BC25" s="597">
        <f>Table35[[#This Row],[Total Expenditure]]/Table35[[#This Row],[Number of pupils (FTE)]]</f>
        <v>10526.315789473685</v>
      </c>
      <c r="BD25" s="598">
        <f>Table35[[#This Row],[Total Staff Costs]]/Table35[[#This Row],[Number of pupils (FTE)]]</f>
        <v>8263.1578947368416</v>
      </c>
      <c r="BE25" s="598">
        <f>Table35[[#This Row],[Teaching staff]]/Table35[[#This Row],[Number of teachers in academy (FTE)]]</f>
        <v>0</v>
      </c>
      <c r="BF25" s="599">
        <f>Table35[[#This Row],[Number of pupils (FTE)]]/Table35[[#This Row],[Number of teachers in academy (FTE)]]</f>
        <v>11.585365853658537</v>
      </c>
      <c r="BG25" s="600">
        <f t="shared" si="0"/>
        <v>1605.2631578947369</v>
      </c>
      <c r="BH25" s="598">
        <f>Table35[[#This Row],[Premises Costs]]/Table35[[#This Row],[Number of pupils (FTE)]]</f>
        <v>684.21052631578948</v>
      </c>
      <c r="BI25" s="598">
        <f>Table35[[#This Row],[Maintenance &amp; Improvement Costs]]/Table35[[#This Row],[Number of pupils (FTE)]]</f>
        <v>184.21052631578948</v>
      </c>
      <c r="BJ25" s="598" t="e">
        <f>#REF!/E25</f>
        <v>#REF!</v>
      </c>
      <c r="BK25" s="598">
        <f t="shared" si="1"/>
        <v>0</v>
      </c>
      <c r="BL25" s="598">
        <f t="shared" si="2"/>
        <v>52.631578947368418</v>
      </c>
      <c r="BM25" s="598">
        <f t="shared" si="3"/>
        <v>289.4736842105263</v>
      </c>
      <c r="BN25" s="598">
        <f t="shared" si="4"/>
        <v>394.73684210526318</v>
      </c>
      <c r="BO25" s="598">
        <f t="shared" si="5"/>
        <v>26.315789473684209</v>
      </c>
      <c r="BP25" s="598">
        <f t="shared" si="6"/>
        <v>52.631578947368418</v>
      </c>
      <c r="BQ25" s="598">
        <f t="shared" si="7"/>
        <v>763.15789473684208</v>
      </c>
      <c r="BR25" s="598">
        <f t="shared" si="8"/>
        <v>421.05263157894734</v>
      </c>
      <c r="BS25" s="598">
        <f t="shared" si="9"/>
        <v>289.4736842105263</v>
      </c>
    </row>
    <row r="26" spans="1:71" ht="29" hidden="1" x14ac:dyDescent="0.35">
      <c r="A26" s="580">
        <v>925</v>
      </c>
      <c r="B26" s="580" t="s">
        <v>489</v>
      </c>
      <c r="C26" s="593" t="s">
        <v>526</v>
      </c>
      <c r="D26" s="593" t="s">
        <v>516</v>
      </c>
      <c r="E26" s="580">
        <v>408</v>
      </c>
      <c r="F26" s="580">
        <v>19.46</v>
      </c>
      <c r="G26" s="580" t="s">
        <v>500</v>
      </c>
      <c r="H26" s="580">
        <v>51</v>
      </c>
      <c r="I26" s="580">
        <v>2</v>
      </c>
      <c r="J26" s="580">
        <v>14</v>
      </c>
      <c r="K26" s="580">
        <v>0</v>
      </c>
      <c r="L26" s="581">
        <v>2755000</v>
      </c>
      <c r="M26" s="581">
        <v>2534000</v>
      </c>
      <c r="N26" s="582">
        <f>Table35[[#This Row],[Total Income]]-Table35[[#This Row],[Total Expenditure]]</f>
        <v>221000</v>
      </c>
      <c r="O26" s="581">
        <v>0</v>
      </c>
      <c r="Z26" s="581">
        <v>2092000</v>
      </c>
      <c r="AA26" s="595">
        <f>M26-Z26-Table35[[#This Row],[Maintenance &amp; Improvement]]-Table35[[#This Row],[Cleaning &amp; Caretaking]]-Table35[[#This Row],[Catering Supply]]</f>
        <v>244000</v>
      </c>
      <c r="AB26" s="581">
        <v>25000</v>
      </c>
      <c r="AC26" s="594">
        <v>25000</v>
      </c>
      <c r="AD26" s="594">
        <v>8000</v>
      </c>
      <c r="AE26" s="594">
        <v>34000</v>
      </c>
      <c r="AF26" s="594">
        <v>0</v>
      </c>
      <c r="AG26" s="581">
        <v>67000</v>
      </c>
      <c r="AH26" s="581">
        <v>174000</v>
      </c>
      <c r="AI26" s="596">
        <v>9000</v>
      </c>
      <c r="AJ26" s="594">
        <v>165000</v>
      </c>
      <c r="AK26" s="594">
        <v>4000</v>
      </c>
      <c r="AL26" s="594">
        <v>9000</v>
      </c>
      <c r="AM26" s="594">
        <v>22000</v>
      </c>
      <c r="AN26" s="594">
        <v>10000</v>
      </c>
      <c r="AO26" s="594">
        <v>17000</v>
      </c>
      <c r="AP26" s="581">
        <v>236000</v>
      </c>
      <c r="AQ26" s="594">
        <v>72000</v>
      </c>
      <c r="AR26" s="594">
        <v>6000</v>
      </c>
      <c r="AS26" s="594">
        <v>0</v>
      </c>
      <c r="AT26" s="594">
        <v>49000</v>
      </c>
      <c r="AU26" s="581">
        <v>139000</v>
      </c>
      <c r="AV26" s="594">
        <v>72000</v>
      </c>
      <c r="AW26" s="594">
        <v>6000</v>
      </c>
      <c r="AX26" s="594">
        <v>0</v>
      </c>
      <c r="AY26" s="581">
        <v>78000</v>
      </c>
      <c r="AZ26" s="594">
        <v>11000</v>
      </c>
      <c r="BA26" s="594">
        <v>1000</v>
      </c>
      <c r="BB26" s="581">
        <v>12000</v>
      </c>
      <c r="BC26" s="597">
        <f>Table35[[#This Row],[Total Expenditure]]/Table35[[#This Row],[Number of pupils (FTE)]]</f>
        <v>6210.7843137254904</v>
      </c>
      <c r="BD26" s="598">
        <f>Table35[[#This Row],[Total Staff Costs]]/Table35[[#This Row],[Number of pupils (FTE)]]</f>
        <v>5127.4509803921565</v>
      </c>
      <c r="BE26" s="598">
        <f>Table35[[#This Row],[Teaching staff]]/Table35[[#This Row],[Number of teachers in academy (FTE)]]</f>
        <v>0</v>
      </c>
      <c r="BF26" s="599">
        <f>Table35[[#This Row],[Number of pupils (FTE)]]/Table35[[#This Row],[Number of teachers in academy (FTE)]]</f>
        <v>20.966084275436792</v>
      </c>
      <c r="BG26" s="600">
        <f t="shared" si="0"/>
        <v>598.03921568627447</v>
      </c>
      <c r="BH26" s="598">
        <f>Table35[[#This Row],[Premises Costs]]/Table35[[#This Row],[Number of pupils (FTE)]]</f>
        <v>164.21568627450981</v>
      </c>
      <c r="BI26" s="598">
        <f>Table35[[#This Row],[Maintenance &amp; Improvement Costs]]/Table35[[#This Row],[Number of pupils (FTE)]]</f>
        <v>61.274509803921568</v>
      </c>
      <c r="BJ26" s="598" t="e">
        <f>#REF!/E26</f>
        <v>#REF!</v>
      </c>
      <c r="BK26" s="598">
        <f t="shared" si="1"/>
        <v>9.8039215686274517</v>
      </c>
      <c r="BL26" s="598">
        <f t="shared" si="2"/>
        <v>22.058823529411764</v>
      </c>
      <c r="BM26" s="598">
        <f t="shared" si="3"/>
        <v>53.921568627450981</v>
      </c>
      <c r="BN26" s="598">
        <f t="shared" si="4"/>
        <v>176.47058823529412</v>
      </c>
      <c r="BO26" s="598">
        <f t="shared" si="5"/>
        <v>14.705882352941176</v>
      </c>
      <c r="BP26" s="598">
        <f t="shared" si="6"/>
        <v>120.09803921568627</v>
      </c>
      <c r="BQ26" s="598">
        <f t="shared" si="7"/>
        <v>340.68627450980392</v>
      </c>
      <c r="BR26" s="598">
        <f t="shared" si="8"/>
        <v>191.1764705882353</v>
      </c>
      <c r="BS26" s="598">
        <f t="shared" si="9"/>
        <v>29.411764705882351</v>
      </c>
    </row>
    <row r="27" spans="1:71" ht="29" hidden="1" x14ac:dyDescent="0.35">
      <c r="A27" s="580">
        <v>925</v>
      </c>
      <c r="B27" s="580" t="s">
        <v>489</v>
      </c>
      <c r="C27" s="593" t="s">
        <v>527</v>
      </c>
      <c r="D27" s="593" t="s">
        <v>528</v>
      </c>
      <c r="E27" s="580">
        <v>63</v>
      </c>
      <c r="F27" s="580">
        <v>4</v>
      </c>
      <c r="G27" s="580" t="s">
        <v>500</v>
      </c>
      <c r="H27" s="580">
        <v>17.5</v>
      </c>
      <c r="I27" s="580">
        <v>1.6</v>
      </c>
      <c r="J27" s="580">
        <v>23.8</v>
      </c>
      <c r="K27" s="580">
        <v>0</v>
      </c>
      <c r="L27" s="581">
        <v>556000</v>
      </c>
      <c r="M27" s="581">
        <v>499000</v>
      </c>
      <c r="N27" s="582">
        <f>Table35[[#This Row],[Total Income]]-Table35[[#This Row],[Total Expenditure]]</f>
        <v>57000</v>
      </c>
      <c r="O27" s="581">
        <v>57000</v>
      </c>
      <c r="Z27" s="581">
        <v>370000</v>
      </c>
      <c r="AA27" s="595">
        <f>M27-Z27-Table35[[#This Row],[Maintenance &amp; Improvement]]-Table35[[#This Row],[Cleaning &amp; Caretaking]]-Table35[[#This Row],[Catering Supply]]</f>
        <v>61000</v>
      </c>
      <c r="AB27" s="581">
        <v>47000</v>
      </c>
      <c r="AC27" s="594">
        <v>47000</v>
      </c>
      <c r="AD27" s="594">
        <v>10000</v>
      </c>
      <c r="AE27" s="594">
        <v>0</v>
      </c>
      <c r="AF27" s="594">
        <v>0</v>
      </c>
      <c r="AG27" s="581">
        <v>57000</v>
      </c>
      <c r="AH27" s="581">
        <v>11000</v>
      </c>
      <c r="AI27" s="596">
        <v>0</v>
      </c>
      <c r="AJ27" s="594">
        <v>11000</v>
      </c>
      <c r="AK27" s="594">
        <v>1000</v>
      </c>
      <c r="AL27" s="594">
        <v>2000</v>
      </c>
      <c r="AM27" s="594">
        <v>14000</v>
      </c>
      <c r="AN27" s="594">
        <v>1000</v>
      </c>
      <c r="AO27" s="594">
        <v>2000</v>
      </c>
      <c r="AP27" s="581">
        <v>31000</v>
      </c>
      <c r="AQ27" s="594">
        <v>20000</v>
      </c>
      <c r="AR27" s="594">
        <v>2000</v>
      </c>
      <c r="AS27" s="594">
        <v>0</v>
      </c>
      <c r="AT27" s="594">
        <v>10000</v>
      </c>
      <c r="AU27" s="581">
        <v>41000</v>
      </c>
      <c r="AV27" s="594">
        <v>20000</v>
      </c>
      <c r="AW27" s="594">
        <v>2000</v>
      </c>
      <c r="AX27" s="594">
        <v>0</v>
      </c>
      <c r="AY27" s="581">
        <v>22000</v>
      </c>
      <c r="AZ27" s="594">
        <v>6000</v>
      </c>
      <c r="BA27" s="594">
        <v>3000</v>
      </c>
      <c r="BB27" s="581">
        <v>9000</v>
      </c>
      <c r="BC27" s="597">
        <f>Table35[[#This Row],[Total Expenditure]]/Table35[[#This Row],[Number of pupils (FTE)]]</f>
        <v>7920.6349206349205</v>
      </c>
      <c r="BD27" s="598">
        <f>Table35[[#This Row],[Total Staff Costs]]/Table35[[#This Row],[Number of pupils (FTE)]]</f>
        <v>5873.0158730158728</v>
      </c>
      <c r="BE27" s="598">
        <f>Table35[[#This Row],[Teaching staff]]/Table35[[#This Row],[Number of teachers in academy (FTE)]]</f>
        <v>0</v>
      </c>
      <c r="BF27" s="599">
        <f>Table35[[#This Row],[Number of pupils (FTE)]]/Table35[[#This Row],[Number of teachers in academy (FTE)]]</f>
        <v>15.75</v>
      </c>
      <c r="BG27" s="600">
        <f t="shared" si="0"/>
        <v>968.25396825396831</v>
      </c>
      <c r="BH27" s="598">
        <f>Table35[[#This Row],[Premises Costs]]/Table35[[#This Row],[Number of pupils (FTE)]]</f>
        <v>904.76190476190482</v>
      </c>
      <c r="BI27" s="598">
        <f>Table35[[#This Row],[Maintenance &amp; Improvement Costs]]/Table35[[#This Row],[Number of pupils (FTE)]]</f>
        <v>746.03174603174602</v>
      </c>
      <c r="BJ27" s="598" t="e">
        <f>#REF!/E27</f>
        <v>#REF!</v>
      </c>
      <c r="BK27" s="598">
        <f t="shared" si="1"/>
        <v>15.873015873015873</v>
      </c>
      <c r="BL27" s="598">
        <f t="shared" si="2"/>
        <v>31.746031746031747</v>
      </c>
      <c r="BM27" s="598">
        <f t="shared" si="3"/>
        <v>222.22222222222223</v>
      </c>
      <c r="BN27" s="598">
        <f t="shared" si="4"/>
        <v>317.46031746031747</v>
      </c>
      <c r="BO27" s="598">
        <f t="shared" si="5"/>
        <v>31.746031746031747</v>
      </c>
      <c r="BP27" s="598">
        <f t="shared" si="6"/>
        <v>158.73015873015873</v>
      </c>
      <c r="BQ27" s="598">
        <f t="shared" si="7"/>
        <v>650.79365079365084</v>
      </c>
      <c r="BR27" s="598">
        <f t="shared" si="8"/>
        <v>349.20634920634922</v>
      </c>
      <c r="BS27" s="598">
        <f t="shared" si="9"/>
        <v>142.85714285714286</v>
      </c>
    </row>
    <row r="28" spans="1:71" hidden="1" x14ac:dyDescent="0.35">
      <c r="A28" s="580">
        <v>925</v>
      </c>
      <c r="B28" s="580" t="s">
        <v>489</v>
      </c>
      <c r="C28" s="593" t="s">
        <v>529</v>
      </c>
      <c r="D28" s="593" t="s">
        <v>530</v>
      </c>
      <c r="E28" s="580">
        <v>212</v>
      </c>
      <c r="F28" s="580">
        <v>9</v>
      </c>
      <c r="G28" s="580" t="s">
        <v>500</v>
      </c>
      <c r="H28" s="580">
        <v>9.4</v>
      </c>
      <c r="I28" s="580">
        <v>2.8</v>
      </c>
      <c r="J28" s="580">
        <v>6.6</v>
      </c>
      <c r="K28" s="580">
        <v>0</v>
      </c>
      <c r="L28" s="581">
        <v>1181000</v>
      </c>
      <c r="M28" s="581">
        <v>1216000</v>
      </c>
      <c r="N28" s="582">
        <f>Table35[[#This Row],[Total Income]]-Table35[[#This Row],[Total Expenditure]]</f>
        <v>-35000</v>
      </c>
      <c r="O28" s="581">
        <v>0</v>
      </c>
      <c r="Z28" s="581">
        <v>923000</v>
      </c>
      <c r="AA28" s="595">
        <f>M28-Z28-Table35[[#This Row],[Maintenance &amp; Improvement]]-Table35[[#This Row],[Cleaning &amp; Caretaking]]-Table35[[#This Row],[Catering Supply]]</f>
        <v>201000</v>
      </c>
      <c r="AB28" s="581">
        <v>24000</v>
      </c>
      <c r="AC28" s="594">
        <v>24000</v>
      </c>
      <c r="AD28" s="594">
        <v>24000</v>
      </c>
      <c r="AE28" s="594">
        <v>17000</v>
      </c>
      <c r="AF28" s="594">
        <v>0</v>
      </c>
      <c r="AG28" s="581">
        <v>65000</v>
      </c>
      <c r="AH28" s="581">
        <v>44000</v>
      </c>
      <c r="AI28" s="596">
        <v>0</v>
      </c>
      <c r="AJ28" s="594">
        <v>44000</v>
      </c>
      <c r="AK28" s="594">
        <v>2000</v>
      </c>
      <c r="AL28" s="594">
        <v>7000</v>
      </c>
      <c r="AM28" s="594">
        <v>22000</v>
      </c>
      <c r="AN28" s="594">
        <v>5000</v>
      </c>
      <c r="AO28" s="594">
        <v>2000</v>
      </c>
      <c r="AP28" s="581">
        <v>82000</v>
      </c>
      <c r="AQ28" s="594">
        <v>85000</v>
      </c>
      <c r="AR28" s="594">
        <v>0</v>
      </c>
      <c r="AS28" s="594">
        <v>0</v>
      </c>
      <c r="AT28" s="594">
        <v>36000</v>
      </c>
      <c r="AU28" s="581">
        <v>146000</v>
      </c>
      <c r="AV28" s="594">
        <v>85000</v>
      </c>
      <c r="AW28" s="594">
        <v>0</v>
      </c>
      <c r="AX28" s="594">
        <v>0</v>
      </c>
      <c r="AY28" s="581">
        <v>85000</v>
      </c>
      <c r="AZ28" s="594">
        <v>22000</v>
      </c>
      <c r="BA28" s="594">
        <v>3000</v>
      </c>
      <c r="BB28" s="581">
        <v>25000</v>
      </c>
      <c r="BC28" s="597">
        <f>Table35[[#This Row],[Total Expenditure]]/Table35[[#This Row],[Number of pupils (FTE)]]</f>
        <v>5735.8490566037735</v>
      </c>
      <c r="BD28" s="598">
        <f>Table35[[#This Row],[Total Staff Costs]]/Table35[[#This Row],[Number of pupils (FTE)]]</f>
        <v>4353.7735849056608</v>
      </c>
      <c r="BE28" s="598">
        <f>Table35[[#This Row],[Teaching staff]]/Table35[[#This Row],[Number of teachers in academy (FTE)]]</f>
        <v>0</v>
      </c>
      <c r="BF28" s="599">
        <f>Table35[[#This Row],[Number of pupils (FTE)]]/Table35[[#This Row],[Number of teachers in academy (FTE)]]</f>
        <v>23.555555555555557</v>
      </c>
      <c r="BG28" s="600">
        <f t="shared" si="0"/>
        <v>948.11320754716985</v>
      </c>
      <c r="BH28" s="598">
        <f>Table35[[#This Row],[Premises Costs]]/Table35[[#This Row],[Number of pupils (FTE)]]</f>
        <v>306.60377358490564</v>
      </c>
      <c r="BI28" s="598">
        <f>Table35[[#This Row],[Maintenance &amp; Improvement Costs]]/Table35[[#This Row],[Number of pupils (FTE)]]</f>
        <v>113.20754716981132</v>
      </c>
      <c r="BJ28" s="598" t="e">
        <f>#REF!/E28</f>
        <v>#REF!</v>
      </c>
      <c r="BK28" s="598">
        <f t="shared" si="1"/>
        <v>9.433962264150944</v>
      </c>
      <c r="BL28" s="598">
        <f t="shared" si="2"/>
        <v>33.018867924528301</v>
      </c>
      <c r="BM28" s="598">
        <f t="shared" si="3"/>
        <v>103.77358490566037</v>
      </c>
      <c r="BN28" s="598">
        <f t="shared" si="4"/>
        <v>400.94339622641508</v>
      </c>
      <c r="BO28" s="598">
        <f t="shared" si="5"/>
        <v>0</v>
      </c>
      <c r="BP28" s="598">
        <f t="shared" si="6"/>
        <v>169.81132075471697</v>
      </c>
      <c r="BQ28" s="598">
        <f t="shared" si="7"/>
        <v>688.67924528301887</v>
      </c>
      <c r="BR28" s="598">
        <f t="shared" si="8"/>
        <v>400.94339622641508</v>
      </c>
      <c r="BS28" s="598">
        <f t="shared" si="9"/>
        <v>117.9245283018868</v>
      </c>
    </row>
    <row r="29" spans="1:71" ht="29" hidden="1" x14ac:dyDescent="0.35">
      <c r="A29" s="580">
        <v>925</v>
      </c>
      <c r="B29" s="580" t="s">
        <v>489</v>
      </c>
      <c r="C29" s="593" t="s">
        <v>531</v>
      </c>
      <c r="D29" s="593" t="s">
        <v>532</v>
      </c>
      <c r="E29" s="580">
        <v>98</v>
      </c>
      <c r="F29" s="580">
        <v>5</v>
      </c>
      <c r="G29" s="580" t="s">
        <v>500</v>
      </c>
      <c r="H29" s="580">
        <v>55.3</v>
      </c>
      <c r="I29" s="580">
        <v>4.8</v>
      </c>
      <c r="J29" s="580">
        <v>12.6</v>
      </c>
      <c r="K29" s="580">
        <v>0</v>
      </c>
      <c r="L29" s="581">
        <v>868000</v>
      </c>
      <c r="M29" s="581">
        <v>789000</v>
      </c>
      <c r="N29" s="582">
        <f>Table35[[#This Row],[Total Income]]-Table35[[#This Row],[Total Expenditure]]</f>
        <v>79000</v>
      </c>
      <c r="O29" s="581">
        <v>269000</v>
      </c>
      <c r="Z29" s="581">
        <v>580000</v>
      </c>
      <c r="AA29" s="595">
        <f>M29-Z29-Table35[[#This Row],[Maintenance &amp; Improvement]]-Table35[[#This Row],[Cleaning &amp; Caretaking]]-Table35[[#This Row],[Catering Supply]]</f>
        <v>155000</v>
      </c>
      <c r="AB29" s="581">
        <v>15000</v>
      </c>
      <c r="AC29" s="594">
        <v>15000</v>
      </c>
      <c r="AD29" s="594">
        <v>4000</v>
      </c>
      <c r="AE29" s="594">
        <v>44000</v>
      </c>
      <c r="AF29" s="594">
        <v>0</v>
      </c>
      <c r="AG29" s="581">
        <v>63000</v>
      </c>
      <c r="AH29" s="581">
        <v>35000</v>
      </c>
      <c r="AI29" s="596">
        <v>0</v>
      </c>
      <c r="AJ29" s="594">
        <v>35000</v>
      </c>
      <c r="AK29" s="594">
        <v>1000</v>
      </c>
      <c r="AL29" s="594">
        <v>3000</v>
      </c>
      <c r="AM29" s="594">
        <v>15000</v>
      </c>
      <c r="AN29" s="594">
        <v>0</v>
      </c>
      <c r="AO29" s="594">
        <v>4000</v>
      </c>
      <c r="AP29" s="581">
        <v>58000</v>
      </c>
      <c r="AQ29" s="594">
        <v>46000</v>
      </c>
      <c r="AR29" s="594">
        <v>24000</v>
      </c>
      <c r="AS29" s="594">
        <v>0</v>
      </c>
      <c r="AT29" s="594">
        <v>3000</v>
      </c>
      <c r="AU29" s="581">
        <v>87000</v>
      </c>
      <c r="AV29" s="594">
        <v>46000</v>
      </c>
      <c r="AW29" s="594">
        <v>24000</v>
      </c>
      <c r="AX29" s="594">
        <v>0</v>
      </c>
      <c r="AY29" s="581">
        <v>70000</v>
      </c>
      <c r="AZ29" s="594">
        <v>8000</v>
      </c>
      <c r="BA29" s="594">
        <v>6000</v>
      </c>
      <c r="BB29" s="581">
        <v>14000</v>
      </c>
      <c r="BC29" s="597">
        <f>Table35[[#This Row],[Total Expenditure]]/Table35[[#This Row],[Number of pupils (FTE)]]</f>
        <v>8051.0204081632655</v>
      </c>
      <c r="BD29" s="598">
        <f>Table35[[#This Row],[Total Staff Costs]]/Table35[[#This Row],[Number of pupils (FTE)]]</f>
        <v>5918.3673469387759</v>
      </c>
      <c r="BE29" s="598">
        <f>Table35[[#This Row],[Teaching staff]]/Table35[[#This Row],[Number of teachers in academy (FTE)]]</f>
        <v>0</v>
      </c>
      <c r="BF29" s="599">
        <f>Table35[[#This Row],[Number of pupils (FTE)]]/Table35[[#This Row],[Number of teachers in academy (FTE)]]</f>
        <v>19.600000000000001</v>
      </c>
      <c r="BG29" s="600">
        <f t="shared" si="0"/>
        <v>1581.6326530612246</v>
      </c>
      <c r="BH29" s="598">
        <f>Table35[[#This Row],[Premises Costs]]/Table35[[#This Row],[Number of pupils (FTE)]]</f>
        <v>642.85714285714289</v>
      </c>
      <c r="BI29" s="598">
        <f>Table35[[#This Row],[Maintenance &amp; Improvement Costs]]/Table35[[#This Row],[Number of pupils (FTE)]]</f>
        <v>153.0612244897959</v>
      </c>
      <c r="BJ29" s="598" t="e">
        <f>#REF!/E29</f>
        <v>#REF!</v>
      </c>
      <c r="BK29" s="598">
        <f t="shared" si="1"/>
        <v>10.204081632653061</v>
      </c>
      <c r="BL29" s="598">
        <f t="shared" si="2"/>
        <v>30.612244897959183</v>
      </c>
      <c r="BM29" s="598">
        <f t="shared" si="3"/>
        <v>153.0612244897959</v>
      </c>
      <c r="BN29" s="598">
        <f t="shared" si="4"/>
        <v>469.38775510204084</v>
      </c>
      <c r="BO29" s="598">
        <f t="shared" si="5"/>
        <v>244.89795918367346</v>
      </c>
      <c r="BP29" s="598">
        <f t="shared" si="6"/>
        <v>30.612244897959183</v>
      </c>
      <c r="BQ29" s="598">
        <f t="shared" si="7"/>
        <v>887.75510204081638</v>
      </c>
      <c r="BR29" s="598">
        <f t="shared" si="8"/>
        <v>714.28571428571433</v>
      </c>
      <c r="BS29" s="598">
        <f t="shared" si="9"/>
        <v>142.85714285714286</v>
      </c>
    </row>
    <row r="30" spans="1:71" ht="29" hidden="1" x14ac:dyDescent="0.35">
      <c r="A30" s="580">
        <v>925</v>
      </c>
      <c r="B30" s="580" t="s">
        <v>489</v>
      </c>
      <c r="C30" s="593" t="s">
        <v>533</v>
      </c>
      <c r="D30" s="593" t="s">
        <v>534</v>
      </c>
      <c r="E30" s="580">
        <v>96</v>
      </c>
      <c r="F30" s="580">
        <v>4.4000000000000004</v>
      </c>
      <c r="G30" s="580" t="s">
        <v>500</v>
      </c>
      <c r="H30" s="580">
        <v>34</v>
      </c>
      <c r="I30" s="580">
        <v>1</v>
      </c>
      <c r="J30" s="580">
        <v>16.5</v>
      </c>
      <c r="K30" s="580">
        <v>0</v>
      </c>
      <c r="L30" s="581">
        <v>705000</v>
      </c>
      <c r="M30" s="581">
        <v>685000</v>
      </c>
      <c r="N30" s="582">
        <f>Table35[[#This Row],[Total Income]]-Table35[[#This Row],[Total Expenditure]]</f>
        <v>20000</v>
      </c>
      <c r="O30" s="581">
        <v>-228000</v>
      </c>
      <c r="Z30" s="581">
        <v>499000</v>
      </c>
      <c r="AA30" s="595">
        <f>M30-Z30-Table35[[#This Row],[Maintenance &amp; Improvement]]-Table35[[#This Row],[Cleaning &amp; Caretaking]]-Table35[[#This Row],[Catering Supply]]</f>
        <v>151000</v>
      </c>
      <c r="AB30" s="581">
        <v>16000</v>
      </c>
      <c r="AC30" s="594">
        <v>16000</v>
      </c>
      <c r="AD30" s="594">
        <v>4000</v>
      </c>
      <c r="AE30" s="594">
        <v>33000</v>
      </c>
      <c r="AF30" s="594">
        <v>0</v>
      </c>
      <c r="AG30" s="581">
        <v>53000</v>
      </c>
      <c r="AH30" s="581">
        <v>15000</v>
      </c>
      <c r="AI30" s="596">
        <v>0</v>
      </c>
      <c r="AJ30" s="594">
        <v>15000</v>
      </c>
      <c r="AK30" s="594">
        <v>2000</v>
      </c>
      <c r="AL30" s="594">
        <v>3000</v>
      </c>
      <c r="AM30" s="594">
        <v>28000</v>
      </c>
      <c r="AN30" s="594">
        <v>2000</v>
      </c>
      <c r="AO30" s="594">
        <v>2000</v>
      </c>
      <c r="AP30" s="581">
        <v>52000</v>
      </c>
      <c r="AQ30" s="594">
        <v>30000</v>
      </c>
      <c r="AR30" s="594">
        <v>36000</v>
      </c>
      <c r="AS30" s="594">
        <v>0</v>
      </c>
      <c r="AT30" s="594">
        <v>11000</v>
      </c>
      <c r="AU30" s="581">
        <v>81000</v>
      </c>
      <c r="AV30" s="594">
        <v>30000</v>
      </c>
      <c r="AW30" s="594">
        <v>36000</v>
      </c>
      <c r="AX30" s="594">
        <v>0</v>
      </c>
      <c r="AY30" s="581">
        <v>66000</v>
      </c>
      <c r="AZ30" s="594">
        <v>0</v>
      </c>
      <c r="BA30" s="594">
        <v>4000</v>
      </c>
      <c r="BB30" s="581">
        <v>4000</v>
      </c>
      <c r="BC30" s="597">
        <f>Table35[[#This Row],[Total Expenditure]]/Table35[[#This Row],[Number of pupils (FTE)]]</f>
        <v>7135.416666666667</v>
      </c>
      <c r="BD30" s="598">
        <f>Table35[[#This Row],[Total Staff Costs]]/Table35[[#This Row],[Number of pupils (FTE)]]</f>
        <v>5197.916666666667</v>
      </c>
      <c r="BE30" s="598">
        <f>Table35[[#This Row],[Teaching staff]]/Table35[[#This Row],[Number of teachers in academy (FTE)]]</f>
        <v>0</v>
      </c>
      <c r="BF30" s="599">
        <f>Table35[[#This Row],[Number of pupils (FTE)]]/Table35[[#This Row],[Number of teachers in academy (FTE)]]</f>
        <v>21.818181818181817</v>
      </c>
      <c r="BG30" s="600">
        <f t="shared" si="0"/>
        <v>1572.9166666666667</v>
      </c>
      <c r="BH30" s="598">
        <f>Table35[[#This Row],[Premises Costs]]/Table35[[#This Row],[Number of pupils (FTE)]]</f>
        <v>552.08333333333337</v>
      </c>
      <c r="BI30" s="598">
        <f>Table35[[#This Row],[Maintenance &amp; Improvement Costs]]/Table35[[#This Row],[Number of pupils (FTE)]]</f>
        <v>166.66666666666666</v>
      </c>
      <c r="BJ30" s="598" t="e">
        <f>#REF!/E30</f>
        <v>#REF!</v>
      </c>
      <c r="BK30" s="598">
        <f t="shared" si="1"/>
        <v>20.833333333333332</v>
      </c>
      <c r="BL30" s="598">
        <f t="shared" si="2"/>
        <v>31.25</v>
      </c>
      <c r="BM30" s="598">
        <f t="shared" si="3"/>
        <v>291.66666666666669</v>
      </c>
      <c r="BN30" s="598">
        <f t="shared" si="4"/>
        <v>312.5</v>
      </c>
      <c r="BO30" s="598">
        <f t="shared" si="5"/>
        <v>375</v>
      </c>
      <c r="BP30" s="598">
        <f t="shared" si="6"/>
        <v>114.58333333333333</v>
      </c>
      <c r="BQ30" s="598">
        <f t="shared" si="7"/>
        <v>843.75</v>
      </c>
      <c r="BR30" s="598">
        <f t="shared" si="8"/>
        <v>687.5</v>
      </c>
      <c r="BS30" s="598">
        <f t="shared" si="9"/>
        <v>41.666666666666664</v>
      </c>
    </row>
    <row r="31" spans="1:71" ht="29" hidden="1" x14ac:dyDescent="0.35">
      <c r="A31" s="580">
        <v>925</v>
      </c>
      <c r="B31" s="580" t="s">
        <v>489</v>
      </c>
      <c r="C31" s="593" t="s">
        <v>535</v>
      </c>
      <c r="D31" s="593" t="s">
        <v>508</v>
      </c>
      <c r="E31" s="580">
        <v>129</v>
      </c>
      <c r="F31" s="580">
        <v>7.81</v>
      </c>
      <c r="G31" s="580" t="s">
        <v>500</v>
      </c>
      <c r="H31" s="580">
        <v>24.8</v>
      </c>
      <c r="I31" s="580">
        <v>3.9</v>
      </c>
      <c r="J31" s="580">
        <v>19.399999999999999</v>
      </c>
      <c r="K31" s="580">
        <v>0</v>
      </c>
      <c r="L31" s="581">
        <v>899000</v>
      </c>
      <c r="M31" s="581">
        <v>847000</v>
      </c>
      <c r="N31" s="582">
        <f>Table35[[#This Row],[Total Income]]-Table35[[#This Row],[Total Expenditure]]</f>
        <v>52000</v>
      </c>
      <c r="O31" s="581">
        <v>181000</v>
      </c>
      <c r="Z31" s="581">
        <v>653000</v>
      </c>
      <c r="AA31" s="595">
        <f>M31-Z31-Table35[[#This Row],[Maintenance &amp; Improvement]]-Table35[[#This Row],[Cleaning &amp; Caretaking]]-Table35[[#This Row],[Catering Supply]]</f>
        <v>117000</v>
      </c>
      <c r="AB31" s="581">
        <v>33000</v>
      </c>
      <c r="AC31" s="594">
        <v>33000</v>
      </c>
      <c r="AD31" s="594">
        <v>6000</v>
      </c>
      <c r="AE31" s="594">
        <v>20000</v>
      </c>
      <c r="AF31" s="594">
        <v>0</v>
      </c>
      <c r="AG31" s="581">
        <v>59000</v>
      </c>
      <c r="AH31" s="581">
        <v>38000</v>
      </c>
      <c r="AI31" s="596">
        <v>0</v>
      </c>
      <c r="AJ31" s="594">
        <v>38000</v>
      </c>
      <c r="AK31" s="594">
        <v>2000</v>
      </c>
      <c r="AL31" s="594">
        <v>2000</v>
      </c>
      <c r="AM31" s="594">
        <v>9000</v>
      </c>
      <c r="AN31" s="594">
        <v>3000</v>
      </c>
      <c r="AO31" s="594">
        <v>8000</v>
      </c>
      <c r="AP31" s="581">
        <v>62000</v>
      </c>
      <c r="AQ31" s="594">
        <v>45000</v>
      </c>
      <c r="AR31" s="594">
        <v>11000</v>
      </c>
      <c r="AS31" s="594">
        <v>0</v>
      </c>
      <c r="AT31" s="594">
        <v>6000</v>
      </c>
      <c r="AU31" s="581">
        <v>73000</v>
      </c>
      <c r="AV31" s="594">
        <v>45000</v>
      </c>
      <c r="AW31" s="594">
        <v>11000</v>
      </c>
      <c r="AX31" s="594">
        <v>0</v>
      </c>
      <c r="AY31" s="581">
        <v>56000</v>
      </c>
      <c r="AZ31" s="594">
        <v>10000</v>
      </c>
      <c r="BA31" s="594">
        <v>1000</v>
      </c>
      <c r="BB31" s="581">
        <v>11000</v>
      </c>
      <c r="BC31" s="597">
        <f>Table35[[#This Row],[Total Expenditure]]/Table35[[#This Row],[Number of pupils (FTE)]]</f>
        <v>6565.8914728682166</v>
      </c>
      <c r="BD31" s="598">
        <f>Table35[[#This Row],[Total Staff Costs]]/Table35[[#This Row],[Number of pupils (FTE)]]</f>
        <v>5062.0155038759694</v>
      </c>
      <c r="BE31" s="598">
        <f>Table35[[#This Row],[Teaching staff]]/Table35[[#This Row],[Number of teachers in academy (FTE)]]</f>
        <v>0</v>
      </c>
      <c r="BF31" s="599">
        <f>Table35[[#This Row],[Number of pupils (FTE)]]/Table35[[#This Row],[Number of teachers in academy (FTE)]]</f>
        <v>16.517285531370039</v>
      </c>
      <c r="BG31" s="600">
        <f t="shared" si="0"/>
        <v>906.97674418604652</v>
      </c>
      <c r="BH31" s="598">
        <f>Table35[[#This Row],[Premises Costs]]/Table35[[#This Row],[Number of pupils (FTE)]]</f>
        <v>457.36434108527129</v>
      </c>
      <c r="BI31" s="598">
        <f>Table35[[#This Row],[Maintenance &amp; Improvement Costs]]/Table35[[#This Row],[Number of pupils (FTE)]]</f>
        <v>255.81395348837211</v>
      </c>
      <c r="BJ31" s="598" t="e">
        <f>#REF!/E31</f>
        <v>#REF!</v>
      </c>
      <c r="BK31" s="598">
        <f t="shared" si="1"/>
        <v>15.503875968992247</v>
      </c>
      <c r="BL31" s="598">
        <f t="shared" si="2"/>
        <v>15.503875968992247</v>
      </c>
      <c r="BM31" s="598">
        <f t="shared" si="3"/>
        <v>69.767441860465112</v>
      </c>
      <c r="BN31" s="598">
        <f t="shared" si="4"/>
        <v>348.83720930232556</v>
      </c>
      <c r="BO31" s="598">
        <f t="shared" si="5"/>
        <v>85.271317829457359</v>
      </c>
      <c r="BP31" s="598">
        <f t="shared" si="6"/>
        <v>46.511627906976742</v>
      </c>
      <c r="BQ31" s="598">
        <f t="shared" si="7"/>
        <v>565.89147286821708</v>
      </c>
      <c r="BR31" s="598">
        <f t="shared" si="8"/>
        <v>434.10852713178292</v>
      </c>
      <c r="BS31" s="598">
        <f t="shared" si="9"/>
        <v>85.271317829457359</v>
      </c>
    </row>
    <row r="32" spans="1:71" ht="29" hidden="1" x14ac:dyDescent="0.35">
      <c r="A32" s="580">
        <v>925</v>
      </c>
      <c r="B32" s="580" t="s">
        <v>489</v>
      </c>
      <c r="C32" s="593" t="s">
        <v>536</v>
      </c>
      <c r="D32" s="593" t="s">
        <v>516</v>
      </c>
      <c r="E32" s="580">
        <v>118</v>
      </c>
      <c r="F32" s="580">
        <v>9</v>
      </c>
      <c r="G32" s="580" t="s">
        <v>500</v>
      </c>
      <c r="H32" s="580">
        <v>67.8</v>
      </c>
      <c r="I32" s="580">
        <v>5.0999999999999996</v>
      </c>
      <c r="J32" s="580">
        <v>12.7</v>
      </c>
      <c r="K32" s="580">
        <v>0</v>
      </c>
      <c r="L32" s="581">
        <v>1165000</v>
      </c>
      <c r="M32" s="581">
        <v>1126000</v>
      </c>
      <c r="N32" s="582">
        <f>Table35[[#This Row],[Total Income]]-Table35[[#This Row],[Total Expenditure]]</f>
        <v>39000</v>
      </c>
      <c r="O32" s="581">
        <v>0</v>
      </c>
      <c r="Z32" s="581">
        <v>870000</v>
      </c>
      <c r="AA32" s="595">
        <f>M32-Z32-Table35[[#This Row],[Maintenance &amp; Improvement]]-Table35[[#This Row],[Cleaning &amp; Caretaking]]-Table35[[#This Row],[Catering Supply]]</f>
        <v>208000</v>
      </c>
      <c r="AB32" s="581">
        <v>4000</v>
      </c>
      <c r="AC32" s="594">
        <v>4000</v>
      </c>
      <c r="AD32" s="594">
        <v>3000</v>
      </c>
      <c r="AE32" s="594">
        <v>32000</v>
      </c>
      <c r="AF32" s="594">
        <v>0</v>
      </c>
      <c r="AG32" s="581">
        <v>39000</v>
      </c>
      <c r="AH32" s="581">
        <v>84000</v>
      </c>
      <c r="AI32" s="596">
        <v>43000</v>
      </c>
      <c r="AJ32" s="594">
        <v>41000</v>
      </c>
      <c r="AK32" s="594">
        <v>3000</v>
      </c>
      <c r="AL32" s="594">
        <v>4000</v>
      </c>
      <c r="AM32" s="594">
        <v>28000</v>
      </c>
      <c r="AN32" s="594">
        <v>3000</v>
      </c>
      <c r="AO32" s="594">
        <v>5000</v>
      </c>
      <c r="AP32" s="581">
        <v>127000</v>
      </c>
      <c r="AQ32" s="594">
        <v>50000</v>
      </c>
      <c r="AR32" s="594">
        <v>4000</v>
      </c>
      <c r="AS32" s="594">
        <v>0</v>
      </c>
      <c r="AT32" s="594">
        <v>21000</v>
      </c>
      <c r="AU32" s="581">
        <v>90000</v>
      </c>
      <c r="AV32" s="594">
        <v>50000</v>
      </c>
      <c r="AW32" s="594">
        <v>4000</v>
      </c>
      <c r="AX32" s="594">
        <v>0</v>
      </c>
      <c r="AY32" s="581">
        <v>54000</v>
      </c>
      <c r="AZ32" s="594">
        <v>15000</v>
      </c>
      <c r="BA32" s="594">
        <v>0</v>
      </c>
      <c r="BB32" s="581">
        <v>15000</v>
      </c>
      <c r="BC32" s="597">
        <f>Table35[[#This Row],[Total Expenditure]]/Table35[[#This Row],[Number of pupils (FTE)]]</f>
        <v>9542.3728813559319</v>
      </c>
      <c r="BD32" s="598">
        <f>Table35[[#This Row],[Total Staff Costs]]/Table35[[#This Row],[Number of pupils (FTE)]]</f>
        <v>7372.8813559322034</v>
      </c>
      <c r="BE32" s="598">
        <f>Table35[[#This Row],[Teaching staff]]/Table35[[#This Row],[Number of teachers in academy (FTE)]]</f>
        <v>0</v>
      </c>
      <c r="BF32" s="599">
        <f>Table35[[#This Row],[Number of pupils (FTE)]]/Table35[[#This Row],[Number of teachers in academy (FTE)]]</f>
        <v>13.111111111111111</v>
      </c>
      <c r="BG32" s="600">
        <f t="shared" si="0"/>
        <v>1762.7118644067796</v>
      </c>
      <c r="BH32" s="598">
        <f>Table35[[#This Row],[Premises Costs]]/Table35[[#This Row],[Number of pupils (FTE)]]</f>
        <v>330.50847457627117</v>
      </c>
      <c r="BI32" s="598">
        <f>Table35[[#This Row],[Maintenance &amp; Improvement Costs]]/Table35[[#This Row],[Number of pupils (FTE)]]</f>
        <v>33.898305084745765</v>
      </c>
      <c r="BJ32" s="598" t="e">
        <f>#REF!/E32</f>
        <v>#REF!</v>
      </c>
      <c r="BK32" s="598">
        <f t="shared" si="1"/>
        <v>25.423728813559322</v>
      </c>
      <c r="BL32" s="598">
        <f t="shared" si="2"/>
        <v>33.898305084745765</v>
      </c>
      <c r="BM32" s="598">
        <f t="shared" si="3"/>
        <v>237.28813559322035</v>
      </c>
      <c r="BN32" s="598">
        <f t="shared" si="4"/>
        <v>423.72881355932202</v>
      </c>
      <c r="BO32" s="598">
        <f t="shared" si="5"/>
        <v>33.898305084745765</v>
      </c>
      <c r="BP32" s="598">
        <f t="shared" si="6"/>
        <v>177.96610169491527</v>
      </c>
      <c r="BQ32" s="598">
        <f t="shared" si="7"/>
        <v>762.71186440677968</v>
      </c>
      <c r="BR32" s="598">
        <f t="shared" si="8"/>
        <v>457.62711864406782</v>
      </c>
      <c r="BS32" s="598">
        <f t="shared" si="9"/>
        <v>127.11864406779661</v>
      </c>
    </row>
    <row r="33" spans="1:71" ht="29" hidden="1" x14ac:dyDescent="0.35">
      <c r="A33" s="580">
        <v>925</v>
      </c>
      <c r="B33" s="580" t="s">
        <v>489</v>
      </c>
      <c r="C33" s="593" t="s">
        <v>537</v>
      </c>
      <c r="D33" s="593" t="s">
        <v>538</v>
      </c>
      <c r="E33" s="580">
        <v>100</v>
      </c>
      <c r="F33" s="580" t="s">
        <v>539</v>
      </c>
      <c r="G33" s="580" t="s">
        <v>500</v>
      </c>
      <c r="H33" s="580">
        <v>60</v>
      </c>
      <c r="I33" s="580">
        <v>3</v>
      </c>
      <c r="J33" s="580">
        <v>27</v>
      </c>
      <c r="K33" s="580">
        <v>0</v>
      </c>
      <c r="L33" s="581">
        <v>720000</v>
      </c>
      <c r="M33" s="581">
        <v>756000</v>
      </c>
      <c r="N33" s="582">
        <f>Table35[[#This Row],[Total Income]]-Table35[[#This Row],[Total Expenditure]]</f>
        <v>-36000</v>
      </c>
      <c r="O33" s="581">
        <v>3000</v>
      </c>
      <c r="Z33" s="581">
        <v>550000</v>
      </c>
      <c r="AA33" s="595">
        <f>M33-Z33-Table35[[#This Row],[Maintenance &amp; Improvement]]-Table35[[#This Row],[Cleaning &amp; Caretaking]]-Table35[[#This Row],[Catering Supply]]</f>
        <v>123000</v>
      </c>
      <c r="AB33" s="581">
        <v>46000</v>
      </c>
      <c r="AC33" s="594">
        <v>46000</v>
      </c>
      <c r="AD33" s="594">
        <v>2000</v>
      </c>
      <c r="AE33" s="594">
        <v>27000</v>
      </c>
      <c r="AF33" s="594">
        <v>0</v>
      </c>
      <c r="AG33" s="581">
        <v>75000</v>
      </c>
      <c r="AH33" s="581">
        <v>35000</v>
      </c>
      <c r="AI33" s="596">
        <v>0</v>
      </c>
      <c r="AJ33" s="594">
        <v>35000</v>
      </c>
      <c r="AK33" s="594">
        <v>1000</v>
      </c>
      <c r="AL33" s="594">
        <v>1000</v>
      </c>
      <c r="AM33" s="594">
        <v>12000</v>
      </c>
      <c r="AN33" s="594">
        <v>2000</v>
      </c>
      <c r="AO33" s="594">
        <v>3000</v>
      </c>
      <c r="AP33" s="581">
        <v>54000</v>
      </c>
      <c r="AQ33" s="594">
        <v>31000</v>
      </c>
      <c r="AR33" s="594">
        <v>9000</v>
      </c>
      <c r="AS33" s="594">
        <v>0</v>
      </c>
      <c r="AT33" s="594">
        <v>26000</v>
      </c>
      <c r="AU33" s="581">
        <v>77000</v>
      </c>
      <c r="AV33" s="594">
        <v>31000</v>
      </c>
      <c r="AW33" s="594">
        <v>9000</v>
      </c>
      <c r="AX33" s="594">
        <v>0</v>
      </c>
      <c r="AY33" s="581">
        <v>40000</v>
      </c>
      <c r="AZ33" s="594">
        <v>7000</v>
      </c>
      <c r="BA33" s="594">
        <v>4000</v>
      </c>
      <c r="BB33" s="581">
        <v>11000</v>
      </c>
      <c r="BC33" s="597">
        <f>Table35[[#This Row],[Total Expenditure]]/Table35[[#This Row],[Number of pupils (FTE)]]</f>
        <v>7560</v>
      </c>
      <c r="BD33" s="598">
        <f>Table35[[#This Row],[Total Staff Costs]]/Table35[[#This Row],[Number of pupils (FTE)]]</f>
        <v>5500</v>
      </c>
      <c r="BE33" s="598" t="e">
        <f>Table35[[#This Row],[Teaching staff]]/Table35[[#This Row],[Number of teachers in academy (FTE)]]</f>
        <v>#VALUE!</v>
      </c>
      <c r="BF33" s="599" t="e">
        <f>Table35[[#This Row],[Number of pupils (FTE)]]/Table35[[#This Row],[Number of teachers in academy (FTE)]]</f>
        <v>#VALUE!</v>
      </c>
      <c r="BG33" s="600">
        <f t="shared" si="0"/>
        <v>1230</v>
      </c>
      <c r="BH33" s="598">
        <f>Table35[[#This Row],[Premises Costs]]/Table35[[#This Row],[Number of pupils (FTE)]]</f>
        <v>750</v>
      </c>
      <c r="BI33" s="598">
        <f>Table35[[#This Row],[Maintenance &amp; Improvement Costs]]/Table35[[#This Row],[Number of pupils (FTE)]]</f>
        <v>460</v>
      </c>
      <c r="BJ33" s="598" t="e">
        <f>#REF!/E33</f>
        <v>#REF!</v>
      </c>
      <c r="BK33" s="598">
        <f t="shared" si="1"/>
        <v>10</v>
      </c>
      <c r="BL33" s="598">
        <f t="shared" si="2"/>
        <v>10</v>
      </c>
      <c r="BM33" s="598">
        <f t="shared" si="3"/>
        <v>120</v>
      </c>
      <c r="BN33" s="598">
        <f t="shared" si="4"/>
        <v>310</v>
      </c>
      <c r="BO33" s="598">
        <f t="shared" si="5"/>
        <v>90</v>
      </c>
      <c r="BP33" s="598">
        <f t="shared" si="6"/>
        <v>260</v>
      </c>
      <c r="BQ33" s="598">
        <f t="shared" si="7"/>
        <v>770</v>
      </c>
      <c r="BR33" s="598">
        <f t="shared" si="8"/>
        <v>400</v>
      </c>
      <c r="BS33" s="598">
        <f t="shared" si="9"/>
        <v>110</v>
      </c>
    </row>
    <row r="34" spans="1:71" ht="29" hidden="1" x14ac:dyDescent="0.35">
      <c r="A34" s="580">
        <v>925</v>
      </c>
      <c r="B34" s="580" t="s">
        <v>489</v>
      </c>
      <c r="C34" s="593" t="s">
        <v>540</v>
      </c>
      <c r="D34" s="593" t="s">
        <v>516</v>
      </c>
      <c r="E34" s="580">
        <v>360</v>
      </c>
      <c r="F34" s="580">
        <v>14.4</v>
      </c>
      <c r="G34" s="580" t="s">
        <v>500</v>
      </c>
      <c r="H34" s="580">
        <v>19.399999999999999</v>
      </c>
      <c r="I34" s="580">
        <v>3.6</v>
      </c>
      <c r="J34" s="580">
        <v>9.4</v>
      </c>
      <c r="K34" s="580">
        <v>0</v>
      </c>
      <c r="L34" s="581">
        <v>2242000</v>
      </c>
      <c r="M34" s="581">
        <v>2068000</v>
      </c>
      <c r="N34" s="582">
        <f>Table35[[#This Row],[Total Income]]-Table35[[#This Row],[Total Expenditure]]</f>
        <v>174000</v>
      </c>
      <c r="O34" s="581">
        <v>0</v>
      </c>
      <c r="Z34" s="581">
        <v>1657000</v>
      </c>
      <c r="AA34" s="595">
        <f>M34-Z34-Table35[[#This Row],[Maintenance &amp; Improvement]]-Table35[[#This Row],[Cleaning &amp; Caretaking]]-Table35[[#This Row],[Catering Supply]]</f>
        <v>281000</v>
      </c>
      <c r="AB34" s="581">
        <v>23000</v>
      </c>
      <c r="AC34" s="594">
        <v>23000</v>
      </c>
      <c r="AD34" s="594">
        <v>6000</v>
      </c>
      <c r="AE34" s="594">
        <v>47000</v>
      </c>
      <c r="AF34" s="594">
        <v>0</v>
      </c>
      <c r="AG34" s="581">
        <v>76000</v>
      </c>
      <c r="AH34" s="581">
        <v>150000</v>
      </c>
      <c r="AI34" s="596">
        <v>49000</v>
      </c>
      <c r="AJ34" s="594">
        <v>101000</v>
      </c>
      <c r="AK34" s="594">
        <v>0</v>
      </c>
      <c r="AL34" s="594">
        <v>4000</v>
      </c>
      <c r="AM34" s="594">
        <v>48000</v>
      </c>
      <c r="AN34" s="594">
        <v>8000</v>
      </c>
      <c r="AO34" s="594">
        <v>11000</v>
      </c>
      <c r="AP34" s="581">
        <v>221000</v>
      </c>
      <c r="AQ34" s="594">
        <v>54000</v>
      </c>
      <c r="AR34" s="594">
        <v>5000</v>
      </c>
      <c r="AS34" s="594">
        <v>0</v>
      </c>
      <c r="AT34" s="594">
        <v>30000</v>
      </c>
      <c r="AU34" s="581">
        <v>114000</v>
      </c>
      <c r="AV34" s="594">
        <v>54000</v>
      </c>
      <c r="AW34" s="594">
        <v>5000</v>
      </c>
      <c r="AX34" s="594">
        <v>0</v>
      </c>
      <c r="AY34" s="581">
        <v>59000</v>
      </c>
      <c r="AZ34" s="594">
        <v>24000</v>
      </c>
      <c r="BA34" s="594">
        <v>1000</v>
      </c>
      <c r="BB34" s="581">
        <v>25000</v>
      </c>
      <c r="BC34" s="597">
        <f>Table35[[#This Row],[Total Expenditure]]/Table35[[#This Row],[Number of pupils (FTE)]]</f>
        <v>5744.4444444444443</v>
      </c>
      <c r="BD34" s="598">
        <f>Table35[[#This Row],[Total Staff Costs]]/Table35[[#This Row],[Number of pupils (FTE)]]</f>
        <v>4602.7777777777774</v>
      </c>
      <c r="BE34" s="598">
        <f>Table35[[#This Row],[Teaching staff]]/Table35[[#This Row],[Number of teachers in academy (FTE)]]</f>
        <v>0</v>
      </c>
      <c r="BF34" s="599">
        <f>Table35[[#This Row],[Number of pupils (FTE)]]/Table35[[#This Row],[Number of teachers in academy (FTE)]]</f>
        <v>25</v>
      </c>
      <c r="BG34" s="600">
        <f t="shared" si="0"/>
        <v>780.55555555555554</v>
      </c>
      <c r="BH34" s="598">
        <f>Table35[[#This Row],[Premises Costs]]/Table35[[#This Row],[Number of pupils (FTE)]]</f>
        <v>211.11111111111111</v>
      </c>
      <c r="BI34" s="598">
        <f>Table35[[#This Row],[Maintenance &amp; Improvement Costs]]/Table35[[#This Row],[Number of pupils (FTE)]]</f>
        <v>63.888888888888886</v>
      </c>
      <c r="BJ34" s="598" t="e">
        <f>#REF!/E34</f>
        <v>#REF!</v>
      </c>
      <c r="BK34" s="598">
        <f t="shared" si="1"/>
        <v>0</v>
      </c>
      <c r="BL34" s="598">
        <f t="shared" si="2"/>
        <v>11.111111111111111</v>
      </c>
      <c r="BM34" s="598">
        <f t="shared" si="3"/>
        <v>133.33333333333334</v>
      </c>
      <c r="BN34" s="598">
        <f t="shared" si="4"/>
        <v>150</v>
      </c>
      <c r="BO34" s="598">
        <f t="shared" si="5"/>
        <v>13.888888888888889</v>
      </c>
      <c r="BP34" s="598">
        <f t="shared" si="6"/>
        <v>83.333333333333329</v>
      </c>
      <c r="BQ34" s="598">
        <f t="shared" si="7"/>
        <v>316.66666666666669</v>
      </c>
      <c r="BR34" s="598">
        <f t="shared" si="8"/>
        <v>163.88888888888889</v>
      </c>
      <c r="BS34" s="598">
        <f t="shared" si="9"/>
        <v>69.444444444444443</v>
      </c>
    </row>
    <row r="35" spans="1:71" ht="29" hidden="1" x14ac:dyDescent="0.35">
      <c r="A35" s="580">
        <v>925</v>
      </c>
      <c r="B35" s="580" t="s">
        <v>489</v>
      </c>
      <c r="C35" s="593" t="s">
        <v>541</v>
      </c>
      <c r="D35" s="593" t="s">
        <v>521</v>
      </c>
      <c r="E35" s="580">
        <v>133</v>
      </c>
      <c r="F35" s="580">
        <v>7.2</v>
      </c>
      <c r="G35" s="580" t="s">
        <v>500</v>
      </c>
      <c r="H35" s="580">
        <v>17.3</v>
      </c>
      <c r="I35" s="580">
        <v>1.5</v>
      </c>
      <c r="J35" s="580">
        <v>6</v>
      </c>
      <c r="K35" s="580">
        <v>0</v>
      </c>
      <c r="L35" s="581">
        <v>787000</v>
      </c>
      <c r="M35" s="581">
        <v>977000</v>
      </c>
      <c r="N35" s="582">
        <f>Table35[[#This Row],[Total Income]]-Table35[[#This Row],[Total Expenditure]]</f>
        <v>-190000</v>
      </c>
      <c r="O35" s="581">
        <v>-122000</v>
      </c>
      <c r="Z35" s="581">
        <v>791000</v>
      </c>
      <c r="AA35" s="595">
        <f>M35-Z35-Table35[[#This Row],[Maintenance &amp; Improvement]]-Table35[[#This Row],[Cleaning &amp; Caretaking]]-Table35[[#This Row],[Catering Supply]]</f>
        <v>148000</v>
      </c>
      <c r="AB35" s="581">
        <v>4000</v>
      </c>
      <c r="AC35" s="594">
        <v>4000</v>
      </c>
      <c r="AD35" s="594">
        <v>1000</v>
      </c>
      <c r="AE35" s="594">
        <v>29000</v>
      </c>
      <c r="AF35" s="594">
        <v>0</v>
      </c>
      <c r="AG35" s="581">
        <v>34000</v>
      </c>
      <c r="AH35" s="581">
        <v>33000</v>
      </c>
      <c r="AI35" s="596">
        <v>0</v>
      </c>
      <c r="AJ35" s="594">
        <v>33000</v>
      </c>
      <c r="AK35" s="594">
        <v>0</v>
      </c>
      <c r="AL35" s="594">
        <v>3000</v>
      </c>
      <c r="AM35" s="594">
        <v>16000</v>
      </c>
      <c r="AN35" s="594">
        <v>2000</v>
      </c>
      <c r="AO35" s="594">
        <v>9000</v>
      </c>
      <c r="AP35" s="581">
        <v>63000</v>
      </c>
      <c r="AQ35" s="594">
        <v>47000</v>
      </c>
      <c r="AR35" s="594">
        <v>14000</v>
      </c>
      <c r="AS35" s="594">
        <v>0</v>
      </c>
      <c r="AT35" s="594">
        <v>17000</v>
      </c>
      <c r="AU35" s="581">
        <v>89000</v>
      </c>
      <c r="AV35" s="594">
        <v>47000</v>
      </c>
      <c r="AW35" s="594">
        <v>14000</v>
      </c>
      <c r="AX35" s="594">
        <v>0</v>
      </c>
      <c r="AY35" s="581">
        <v>61000</v>
      </c>
      <c r="AZ35" s="594">
        <v>0</v>
      </c>
      <c r="BA35" s="594">
        <v>11000</v>
      </c>
      <c r="BB35" s="581">
        <v>11000</v>
      </c>
      <c r="BC35" s="597">
        <f>Table35[[#This Row],[Total Expenditure]]/Table35[[#This Row],[Number of pupils (FTE)]]</f>
        <v>7345.8646616541355</v>
      </c>
      <c r="BD35" s="598">
        <f>Table35[[#This Row],[Total Staff Costs]]/Table35[[#This Row],[Number of pupils (FTE)]]</f>
        <v>5947.3684210526317</v>
      </c>
      <c r="BE35" s="598">
        <f>Table35[[#This Row],[Teaching staff]]/Table35[[#This Row],[Number of teachers in academy (FTE)]]</f>
        <v>0</v>
      </c>
      <c r="BF35" s="599">
        <f>Table35[[#This Row],[Number of pupils (FTE)]]/Table35[[#This Row],[Number of teachers in academy (FTE)]]</f>
        <v>18.472222222222221</v>
      </c>
      <c r="BG35" s="600">
        <f t="shared" si="0"/>
        <v>1112.781954887218</v>
      </c>
      <c r="BH35" s="598">
        <f>Table35[[#This Row],[Premises Costs]]/Table35[[#This Row],[Number of pupils (FTE)]]</f>
        <v>255.6390977443609</v>
      </c>
      <c r="BI35" s="598">
        <f>Table35[[#This Row],[Maintenance &amp; Improvement Costs]]/Table35[[#This Row],[Number of pupils (FTE)]]</f>
        <v>30.075187969924812</v>
      </c>
      <c r="BJ35" s="598" t="e">
        <f>#REF!/E35</f>
        <v>#REF!</v>
      </c>
      <c r="BK35" s="598">
        <f t="shared" si="1"/>
        <v>0</v>
      </c>
      <c r="BL35" s="598">
        <f t="shared" si="2"/>
        <v>22.556390977443609</v>
      </c>
      <c r="BM35" s="598">
        <f t="shared" si="3"/>
        <v>120.30075187969925</v>
      </c>
      <c r="BN35" s="598">
        <f t="shared" si="4"/>
        <v>353.38345864661653</v>
      </c>
      <c r="BO35" s="598">
        <f t="shared" si="5"/>
        <v>105.26315789473684</v>
      </c>
      <c r="BP35" s="598">
        <f t="shared" si="6"/>
        <v>127.81954887218045</v>
      </c>
      <c r="BQ35" s="598">
        <f t="shared" si="7"/>
        <v>669.17293233082705</v>
      </c>
      <c r="BR35" s="598">
        <f t="shared" si="8"/>
        <v>458.64661654135341</v>
      </c>
      <c r="BS35" s="598">
        <f t="shared" si="9"/>
        <v>82.706766917293237</v>
      </c>
    </row>
    <row r="36" spans="1:71" hidden="1" x14ac:dyDescent="0.35">
      <c r="A36" s="580">
        <v>925</v>
      </c>
      <c r="B36" s="580" t="s">
        <v>489</v>
      </c>
      <c r="C36" s="593" t="s">
        <v>542</v>
      </c>
      <c r="D36" s="593" t="s">
        <v>543</v>
      </c>
      <c r="E36" s="580">
        <v>521</v>
      </c>
      <c r="F36" s="580">
        <v>23.5</v>
      </c>
      <c r="G36" s="580" t="s">
        <v>500</v>
      </c>
      <c r="H36" s="580">
        <v>20.2</v>
      </c>
      <c r="I36" s="580">
        <v>1.3</v>
      </c>
      <c r="J36" s="580">
        <v>7</v>
      </c>
      <c r="K36" s="580">
        <v>0</v>
      </c>
      <c r="L36" s="581">
        <v>2994000</v>
      </c>
      <c r="M36" s="581">
        <v>3197000</v>
      </c>
      <c r="N36" s="582">
        <f>Table35[[#This Row],[Total Income]]-Table35[[#This Row],[Total Expenditure]]</f>
        <v>-203000</v>
      </c>
      <c r="O36" s="581">
        <v>135000</v>
      </c>
      <c r="Z36" s="581">
        <v>2592000</v>
      </c>
      <c r="AA36" s="595">
        <f>M36-Z36-Table35[[#This Row],[Maintenance &amp; Improvement]]-Table35[[#This Row],[Cleaning &amp; Caretaking]]-Table35[[#This Row],[Catering Supply]]</f>
        <v>317000</v>
      </c>
      <c r="AB36" s="581">
        <v>38000</v>
      </c>
      <c r="AC36" s="594">
        <v>38000</v>
      </c>
      <c r="AD36" s="594">
        <v>84000</v>
      </c>
      <c r="AE36" s="594">
        <v>42000</v>
      </c>
      <c r="AF36" s="594">
        <v>0</v>
      </c>
      <c r="AG36" s="581">
        <v>164000</v>
      </c>
      <c r="AH36" s="581">
        <v>166000</v>
      </c>
      <c r="AI36" s="596">
        <v>0</v>
      </c>
      <c r="AJ36" s="594">
        <v>166000</v>
      </c>
      <c r="AK36" s="594">
        <v>2000</v>
      </c>
      <c r="AL36" s="594">
        <v>11000</v>
      </c>
      <c r="AM36" s="594">
        <v>47000</v>
      </c>
      <c r="AN36" s="594">
        <v>22000</v>
      </c>
      <c r="AO36" s="594">
        <v>5000</v>
      </c>
      <c r="AP36" s="581">
        <v>253000</v>
      </c>
      <c r="AQ36" s="594">
        <v>135000</v>
      </c>
      <c r="AR36" s="594">
        <v>20000</v>
      </c>
      <c r="AS36" s="594">
        <v>0</v>
      </c>
      <c r="AT36" s="594">
        <v>6000</v>
      </c>
      <c r="AU36" s="581">
        <v>188000</v>
      </c>
      <c r="AV36" s="594">
        <v>135000</v>
      </c>
      <c r="AW36" s="594">
        <v>20000</v>
      </c>
      <c r="AX36" s="594">
        <v>0</v>
      </c>
      <c r="AY36" s="581">
        <v>155000</v>
      </c>
      <c r="AZ36" s="594">
        <v>0</v>
      </c>
      <c r="BA36" s="594">
        <v>27000</v>
      </c>
      <c r="BB36" s="581">
        <v>27000</v>
      </c>
      <c r="BC36" s="597">
        <f>Table35[[#This Row],[Total Expenditure]]/Table35[[#This Row],[Number of pupils (FTE)]]</f>
        <v>6136.2763915547021</v>
      </c>
      <c r="BD36" s="598">
        <f>Table35[[#This Row],[Total Staff Costs]]/Table35[[#This Row],[Number of pupils (FTE)]]</f>
        <v>4975.0479846449134</v>
      </c>
      <c r="BE36" s="598">
        <f>Table35[[#This Row],[Teaching staff]]/Table35[[#This Row],[Number of teachers in academy (FTE)]]</f>
        <v>0</v>
      </c>
      <c r="BF36" s="599">
        <f>Table35[[#This Row],[Number of pupils (FTE)]]/Table35[[#This Row],[Number of teachers in academy (FTE)]]</f>
        <v>22.170212765957448</v>
      </c>
      <c r="BG36" s="600">
        <f t="shared" si="0"/>
        <v>608.44529750479842</v>
      </c>
      <c r="BH36" s="598">
        <f>Table35[[#This Row],[Premises Costs]]/Table35[[#This Row],[Number of pupils (FTE)]]</f>
        <v>314.77927063339729</v>
      </c>
      <c r="BI36" s="598">
        <f>Table35[[#This Row],[Maintenance &amp; Improvement Costs]]/Table35[[#This Row],[Number of pupils (FTE)]]</f>
        <v>72.936660268714007</v>
      </c>
      <c r="BJ36" s="598" t="e">
        <f>#REF!/E36</f>
        <v>#REF!</v>
      </c>
      <c r="BK36" s="598">
        <f t="shared" si="1"/>
        <v>3.8387715930902111</v>
      </c>
      <c r="BL36" s="598">
        <f t="shared" si="2"/>
        <v>21.113243761996163</v>
      </c>
      <c r="BM36" s="598">
        <f t="shared" si="3"/>
        <v>90.211132437619966</v>
      </c>
      <c r="BN36" s="598">
        <f t="shared" si="4"/>
        <v>259.11708253358927</v>
      </c>
      <c r="BO36" s="598">
        <f t="shared" si="5"/>
        <v>38.387715930902111</v>
      </c>
      <c r="BP36" s="598">
        <f t="shared" si="6"/>
        <v>11.516314779270633</v>
      </c>
      <c r="BQ36" s="598">
        <f t="shared" si="7"/>
        <v>360.84452975047986</v>
      </c>
      <c r="BR36" s="598">
        <f t="shared" si="8"/>
        <v>297.50479846449139</v>
      </c>
      <c r="BS36" s="598">
        <f t="shared" si="9"/>
        <v>51.823416506717848</v>
      </c>
    </row>
    <row r="37" spans="1:71" ht="29" hidden="1" x14ac:dyDescent="0.35">
      <c r="A37" s="580">
        <v>925</v>
      </c>
      <c r="B37" s="580" t="s">
        <v>489</v>
      </c>
      <c r="C37" s="593" t="s">
        <v>544</v>
      </c>
      <c r="D37" s="593" t="s">
        <v>545</v>
      </c>
      <c r="E37" s="580">
        <v>372</v>
      </c>
      <c r="F37" s="580">
        <v>17.5</v>
      </c>
      <c r="G37" s="580" t="s">
        <v>500</v>
      </c>
      <c r="H37" s="580">
        <v>41.6</v>
      </c>
      <c r="I37" s="580">
        <v>2.1</v>
      </c>
      <c r="J37" s="580">
        <v>14.9</v>
      </c>
      <c r="K37" s="580">
        <v>0</v>
      </c>
      <c r="L37" s="581">
        <v>2521000</v>
      </c>
      <c r="M37" s="581">
        <v>2297000</v>
      </c>
      <c r="N37" s="582">
        <f>Table35[[#This Row],[Total Income]]-Table35[[#This Row],[Total Expenditure]]</f>
        <v>224000</v>
      </c>
      <c r="O37" s="581">
        <v>15000</v>
      </c>
      <c r="Z37" s="581">
        <v>1729000</v>
      </c>
      <c r="AA37" s="595">
        <f>M37-Z37-Table35[[#This Row],[Maintenance &amp; Improvement]]-Table35[[#This Row],[Cleaning &amp; Caretaking]]-Table35[[#This Row],[Catering Supply]]</f>
        <v>412000</v>
      </c>
      <c r="AB37" s="581">
        <v>64000</v>
      </c>
      <c r="AC37" s="594">
        <v>64000</v>
      </c>
      <c r="AD37" s="594">
        <v>13000</v>
      </c>
      <c r="AE37" s="594">
        <v>73000</v>
      </c>
      <c r="AF37" s="594">
        <v>0</v>
      </c>
      <c r="AG37" s="581">
        <v>150000</v>
      </c>
      <c r="AH37" s="581">
        <v>79000</v>
      </c>
      <c r="AI37" s="596">
        <v>0</v>
      </c>
      <c r="AJ37" s="594">
        <v>79000</v>
      </c>
      <c r="AK37" s="594">
        <v>28000</v>
      </c>
      <c r="AL37" s="594">
        <v>16000</v>
      </c>
      <c r="AM37" s="594">
        <v>81000</v>
      </c>
      <c r="AN37" s="594">
        <v>9000</v>
      </c>
      <c r="AO37" s="594">
        <v>5000</v>
      </c>
      <c r="AP37" s="581">
        <v>218000</v>
      </c>
      <c r="AQ37" s="594">
        <v>131000</v>
      </c>
      <c r="AR37" s="594">
        <v>5000</v>
      </c>
      <c r="AS37" s="594">
        <v>0</v>
      </c>
      <c r="AT37" s="594">
        <v>27000</v>
      </c>
      <c r="AU37" s="581">
        <v>200000</v>
      </c>
      <c r="AV37" s="594">
        <v>131000</v>
      </c>
      <c r="AW37" s="594">
        <v>5000</v>
      </c>
      <c r="AX37" s="594">
        <v>0</v>
      </c>
      <c r="AY37" s="581">
        <v>136000</v>
      </c>
      <c r="AZ37" s="594">
        <v>37000</v>
      </c>
      <c r="BA37" s="594">
        <v>0</v>
      </c>
      <c r="BB37" s="581">
        <v>37000</v>
      </c>
      <c r="BC37" s="597">
        <f>Table35[[#This Row],[Total Expenditure]]/Table35[[#This Row],[Number of pupils (FTE)]]</f>
        <v>6174.7311827956992</v>
      </c>
      <c r="BD37" s="598">
        <f>Table35[[#This Row],[Total Staff Costs]]/Table35[[#This Row],[Number of pupils (FTE)]]</f>
        <v>4647.8494623655915</v>
      </c>
      <c r="BE37" s="598">
        <f>Table35[[#This Row],[Teaching staff]]/Table35[[#This Row],[Number of teachers in academy (FTE)]]</f>
        <v>0</v>
      </c>
      <c r="BF37" s="599">
        <f>Table35[[#This Row],[Number of pupils (FTE)]]/Table35[[#This Row],[Number of teachers in academy (FTE)]]</f>
        <v>21.257142857142856</v>
      </c>
      <c r="BG37" s="600">
        <f t="shared" si="0"/>
        <v>1107.5268817204301</v>
      </c>
      <c r="BH37" s="598">
        <f>Table35[[#This Row],[Premises Costs]]/Table35[[#This Row],[Number of pupils (FTE)]]</f>
        <v>403.22580645161293</v>
      </c>
      <c r="BI37" s="598">
        <f>Table35[[#This Row],[Maintenance &amp; Improvement Costs]]/Table35[[#This Row],[Number of pupils (FTE)]]</f>
        <v>172.04301075268816</v>
      </c>
      <c r="BJ37" s="598" t="e">
        <f>#REF!/E37</f>
        <v>#REF!</v>
      </c>
      <c r="BK37" s="598">
        <f t="shared" si="1"/>
        <v>75.268817204301072</v>
      </c>
      <c r="BL37" s="598">
        <f t="shared" si="2"/>
        <v>43.01075268817204</v>
      </c>
      <c r="BM37" s="598">
        <f t="shared" si="3"/>
        <v>217.74193548387098</v>
      </c>
      <c r="BN37" s="598">
        <f t="shared" si="4"/>
        <v>352.15053763440858</v>
      </c>
      <c r="BO37" s="598">
        <f t="shared" si="5"/>
        <v>13.440860215053764</v>
      </c>
      <c r="BP37" s="598">
        <f t="shared" si="6"/>
        <v>72.58064516129032</v>
      </c>
      <c r="BQ37" s="598">
        <f t="shared" si="7"/>
        <v>537.63440860215053</v>
      </c>
      <c r="BR37" s="598">
        <f t="shared" si="8"/>
        <v>365.59139784946234</v>
      </c>
      <c r="BS37" s="598">
        <f t="shared" si="9"/>
        <v>99.462365591397855</v>
      </c>
    </row>
    <row r="38" spans="1:71" ht="29" hidden="1" x14ac:dyDescent="0.35">
      <c r="A38" s="580">
        <v>925</v>
      </c>
      <c r="B38" s="580" t="s">
        <v>489</v>
      </c>
      <c r="C38" s="593" t="s">
        <v>546</v>
      </c>
      <c r="D38" s="593" t="s">
        <v>513</v>
      </c>
      <c r="E38" s="580">
        <v>301</v>
      </c>
      <c r="F38" s="580">
        <v>13.2</v>
      </c>
      <c r="G38" s="580" t="s">
        <v>500</v>
      </c>
      <c r="H38" s="580">
        <v>18.600000000000001</v>
      </c>
      <c r="I38" s="580">
        <v>5</v>
      </c>
      <c r="J38" s="580">
        <v>13.3</v>
      </c>
      <c r="K38" s="580">
        <v>0</v>
      </c>
      <c r="L38" s="581">
        <v>2174000</v>
      </c>
      <c r="M38" s="581">
        <v>2083000</v>
      </c>
      <c r="N38" s="582">
        <f>Table35[[#This Row],[Total Income]]-Table35[[#This Row],[Total Expenditure]]</f>
        <v>91000</v>
      </c>
      <c r="O38" s="581">
        <v>290000</v>
      </c>
      <c r="Z38" s="581">
        <v>1453000</v>
      </c>
      <c r="AA38" s="595">
        <f>M38-Z38-Table35[[#This Row],[Maintenance &amp; Improvement]]-Table35[[#This Row],[Cleaning &amp; Caretaking]]-Table35[[#This Row],[Catering Supply]]</f>
        <v>270000</v>
      </c>
      <c r="AB38" s="581">
        <v>282000</v>
      </c>
      <c r="AC38" s="594">
        <v>282000</v>
      </c>
      <c r="AD38" s="594">
        <v>18000</v>
      </c>
      <c r="AE38" s="594">
        <v>9000</v>
      </c>
      <c r="AF38" s="594">
        <v>0</v>
      </c>
      <c r="AG38" s="581">
        <v>309000</v>
      </c>
      <c r="AH38" s="581">
        <v>60000</v>
      </c>
      <c r="AI38" s="596">
        <v>0</v>
      </c>
      <c r="AJ38" s="594">
        <v>60000</v>
      </c>
      <c r="AK38" s="594">
        <v>10000</v>
      </c>
      <c r="AL38" s="594">
        <v>6000</v>
      </c>
      <c r="AM38" s="594">
        <v>18000</v>
      </c>
      <c r="AN38" s="594">
        <v>7000</v>
      </c>
      <c r="AO38" s="594">
        <v>17000</v>
      </c>
      <c r="AP38" s="581">
        <v>118000</v>
      </c>
      <c r="AQ38" s="594">
        <v>49000</v>
      </c>
      <c r="AR38" s="594">
        <v>6000</v>
      </c>
      <c r="AS38" s="594">
        <v>0</v>
      </c>
      <c r="AT38" s="594">
        <v>108000</v>
      </c>
      <c r="AU38" s="581">
        <v>203000</v>
      </c>
      <c r="AV38" s="594">
        <v>49000</v>
      </c>
      <c r="AW38" s="594">
        <v>6000</v>
      </c>
      <c r="AX38" s="594">
        <v>0</v>
      </c>
      <c r="AY38" s="581">
        <v>55000</v>
      </c>
      <c r="AZ38" s="594">
        <v>34000</v>
      </c>
      <c r="BA38" s="594">
        <v>6000</v>
      </c>
      <c r="BB38" s="581">
        <v>40000</v>
      </c>
      <c r="BC38" s="597">
        <f>Table35[[#This Row],[Total Expenditure]]/Table35[[#This Row],[Number of pupils (FTE)]]</f>
        <v>6920.2657807308969</v>
      </c>
      <c r="BD38" s="598">
        <f>Table35[[#This Row],[Total Staff Costs]]/Table35[[#This Row],[Number of pupils (FTE)]]</f>
        <v>4827.2425249169437</v>
      </c>
      <c r="BE38" s="598">
        <f>Table35[[#This Row],[Teaching staff]]/Table35[[#This Row],[Number of teachers in academy (FTE)]]</f>
        <v>0</v>
      </c>
      <c r="BF38" s="599">
        <f>Table35[[#This Row],[Number of pupils (FTE)]]/Table35[[#This Row],[Number of teachers in academy (FTE)]]</f>
        <v>22.803030303030305</v>
      </c>
      <c r="BG38" s="600">
        <f t="shared" si="0"/>
        <v>897.00996677740864</v>
      </c>
      <c r="BH38" s="598">
        <f>Table35[[#This Row],[Premises Costs]]/Table35[[#This Row],[Number of pupils (FTE)]]</f>
        <v>1026.5780730897011</v>
      </c>
      <c r="BI38" s="598">
        <f>Table35[[#This Row],[Maintenance &amp; Improvement Costs]]/Table35[[#This Row],[Number of pupils (FTE)]]</f>
        <v>936.87707641196016</v>
      </c>
      <c r="BJ38" s="598" t="e">
        <f>#REF!/E38</f>
        <v>#REF!</v>
      </c>
      <c r="BK38" s="598">
        <f t="shared" si="1"/>
        <v>33.222591362126245</v>
      </c>
      <c r="BL38" s="598">
        <f t="shared" si="2"/>
        <v>19.933554817275748</v>
      </c>
      <c r="BM38" s="598">
        <f t="shared" si="3"/>
        <v>59.800664451827245</v>
      </c>
      <c r="BN38" s="598">
        <f t="shared" si="4"/>
        <v>162.7906976744186</v>
      </c>
      <c r="BO38" s="598">
        <f t="shared" si="5"/>
        <v>19.933554817275748</v>
      </c>
      <c r="BP38" s="598">
        <f t="shared" si="6"/>
        <v>358.80398671096344</v>
      </c>
      <c r="BQ38" s="598">
        <f t="shared" si="7"/>
        <v>674.41860465116281</v>
      </c>
      <c r="BR38" s="598">
        <f t="shared" si="8"/>
        <v>182.72425249169436</v>
      </c>
      <c r="BS38" s="598">
        <f t="shared" si="9"/>
        <v>132.89036544850498</v>
      </c>
    </row>
    <row r="39" spans="1:71" ht="29" hidden="1" x14ac:dyDescent="0.35">
      <c r="A39" s="580">
        <v>925</v>
      </c>
      <c r="B39" s="580" t="s">
        <v>489</v>
      </c>
      <c r="C39" s="593" t="s">
        <v>547</v>
      </c>
      <c r="D39" s="593" t="s">
        <v>545</v>
      </c>
      <c r="E39" s="580">
        <v>405</v>
      </c>
      <c r="F39" s="580">
        <v>17.2</v>
      </c>
      <c r="G39" s="580" t="s">
        <v>500</v>
      </c>
      <c r="H39" s="580">
        <v>57.5</v>
      </c>
      <c r="I39" s="580">
        <v>3.7</v>
      </c>
      <c r="J39" s="580">
        <v>19.8</v>
      </c>
      <c r="K39" s="580">
        <v>0</v>
      </c>
      <c r="L39" s="581">
        <v>2839000</v>
      </c>
      <c r="M39" s="581">
        <v>2639000</v>
      </c>
      <c r="N39" s="582">
        <f>Table35[[#This Row],[Total Income]]-Table35[[#This Row],[Total Expenditure]]</f>
        <v>200000</v>
      </c>
      <c r="O39" s="581">
        <v>15000</v>
      </c>
      <c r="Z39" s="581">
        <v>2007000</v>
      </c>
      <c r="AA39" s="595">
        <f>M39-Z39-Table35[[#This Row],[Maintenance &amp; Improvement]]-Table35[[#This Row],[Cleaning &amp; Caretaking]]-Table35[[#This Row],[Catering Supply]]</f>
        <v>429000</v>
      </c>
      <c r="AB39" s="581">
        <v>62000</v>
      </c>
      <c r="AC39" s="594">
        <v>62000</v>
      </c>
      <c r="AD39" s="594">
        <v>9000</v>
      </c>
      <c r="AE39" s="594">
        <v>67000</v>
      </c>
      <c r="AF39" s="594">
        <v>0</v>
      </c>
      <c r="AG39" s="581">
        <v>138000</v>
      </c>
      <c r="AH39" s="581">
        <v>132000</v>
      </c>
      <c r="AI39" s="596">
        <v>0</v>
      </c>
      <c r="AJ39" s="594">
        <v>132000</v>
      </c>
      <c r="AK39" s="594">
        <v>37000</v>
      </c>
      <c r="AL39" s="594">
        <v>10000</v>
      </c>
      <c r="AM39" s="594">
        <v>65000</v>
      </c>
      <c r="AN39" s="594">
        <v>9000</v>
      </c>
      <c r="AO39" s="594">
        <v>4000</v>
      </c>
      <c r="AP39" s="581">
        <v>257000</v>
      </c>
      <c r="AQ39" s="594">
        <v>119000</v>
      </c>
      <c r="AR39" s="594">
        <v>7000</v>
      </c>
      <c r="AS39" s="594">
        <v>0</v>
      </c>
      <c r="AT39" s="594">
        <v>47000</v>
      </c>
      <c r="AU39" s="581">
        <v>237000</v>
      </c>
      <c r="AV39" s="594">
        <v>119000</v>
      </c>
      <c r="AW39" s="594">
        <v>7000</v>
      </c>
      <c r="AX39" s="594">
        <v>0</v>
      </c>
      <c r="AY39" s="581">
        <v>126000</v>
      </c>
      <c r="AZ39" s="594">
        <v>60000</v>
      </c>
      <c r="BA39" s="594">
        <v>4000</v>
      </c>
      <c r="BB39" s="581">
        <v>64000</v>
      </c>
      <c r="BC39" s="597">
        <f>Table35[[#This Row],[Total Expenditure]]/Table35[[#This Row],[Number of pupils (FTE)]]</f>
        <v>6516.049382716049</v>
      </c>
      <c r="BD39" s="598">
        <f>Table35[[#This Row],[Total Staff Costs]]/Table35[[#This Row],[Number of pupils (FTE)]]</f>
        <v>4955.5555555555557</v>
      </c>
      <c r="BE39" s="598">
        <f>Table35[[#This Row],[Teaching staff]]/Table35[[#This Row],[Number of teachers in academy (FTE)]]</f>
        <v>0</v>
      </c>
      <c r="BF39" s="599">
        <f>Table35[[#This Row],[Number of pupils (FTE)]]/Table35[[#This Row],[Number of teachers in academy (FTE)]]</f>
        <v>23.546511627906977</v>
      </c>
      <c r="BG39" s="600">
        <f t="shared" si="0"/>
        <v>1059.2592592592594</v>
      </c>
      <c r="BH39" s="598">
        <f>Table35[[#This Row],[Premises Costs]]/Table35[[#This Row],[Number of pupils (FTE)]]</f>
        <v>340.74074074074076</v>
      </c>
      <c r="BI39" s="598">
        <f>Table35[[#This Row],[Maintenance &amp; Improvement Costs]]/Table35[[#This Row],[Number of pupils (FTE)]]</f>
        <v>153.08641975308643</v>
      </c>
      <c r="BJ39" s="598" t="e">
        <f>#REF!/E39</f>
        <v>#REF!</v>
      </c>
      <c r="BK39" s="598">
        <f t="shared" si="1"/>
        <v>91.358024691358025</v>
      </c>
      <c r="BL39" s="598">
        <f t="shared" si="2"/>
        <v>24.691358024691358</v>
      </c>
      <c r="BM39" s="598">
        <f t="shared" si="3"/>
        <v>160.49382716049382</v>
      </c>
      <c r="BN39" s="598">
        <f t="shared" si="4"/>
        <v>293.82716049382714</v>
      </c>
      <c r="BO39" s="598">
        <f t="shared" si="5"/>
        <v>17.283950617283949</v>
      </c>
      <c r="BP39" s="598">
        <f t="shared" si="6"/>
        <v>116.04938271604938</v>
      </c>
      <c r="BQ39" s="598">
        <f t="shared" si="7"/>
        <v>585.18518518518522</v>
      </c>
      <c r="BR39" s="598">
        <f t="shared" si="8"/>
        <v>311.11111111111109</v>
      </c>
      <c r="BS39" s="598">
        <f t="shared" si="9"/>
        <v>158.02469135802468</v>
      </c>
    </row>
    <row r="40" spans="1:71" ht="29" hidden="1" x14ac:dyDescent="0.35">
      <c r="A40" s="580">
        <v>925</v>
      </c>
      <c r="B40" s="580" t="s">
        <v>489</v>
      </c>
      <c r="C40" s="593" t="s">
        <v>548</v>
      </c>
      <c r="D40" s="593" t="s">
        <v>513</v>
      </c>
      <c r="E40" s="580">
        <v>413</v>
      </c>
      <c r="F40" s="580">
        <v>15.3</v>
      </c>
      <c r="G40" s="580" t="s">
        <v>500</v>
      </c>
      <c r="H40" s="580">
        <v>12.8</v>
      </c>
      <c r="I40" s="580">
        <v>1</v>
      </c>
      <c r="J40" s="580">
        <v>13.8</v>
      </c>
      <c r="K40" s="580">
        <v>0</v>
      </c>
      <c r="L40" s="581">
        <v>2436000</v>
      </c>
      <c r="M40" s="581">
        <v>2310000</v>
      </c>
      <c r="N40" s="582">
        <f>Table35[[#This Row],[Total Income]]-Table35[[#This Row],[Total Expenditure]]</f>
        <v>126000</v>
      </c>
      <c r="O40" s="581">
        <v>421000</v>
      </c>
      <c r="Z40" s="581">
        <v>1801000</v>
      </c>
      <c r="AA40" s="595">
        <f>M40-Z40-Table35[[#This Row],[Maintenance &amp; Improvement]]-Table35[[#This Row],[Cleaning &amp; Caretaking]]-Table35[[#This Row],[Catering Supply]]</f>
        <v>322000</v>
      </c>
      <c r="AB40" s="581">
        <v>86000</v>
      </c>
      <c r="AC40" s="594">
        <v>86000</v>
      </c>
      <c r="AD40" s="594">
        <v>30000</v>
      </c>
      <c r="AE40" s="594">
        <v>39000</v>
      </c>
      <c r="AF40" s="594">
        <v>0</v>
      </c>
      <c r="AG40" s="581">
        <v>155000</v>
      </c>
      <c r="AH40" s="581">
        <v>139000</v>
      </c>
      <c r="AI40" s="596">
        <v>68000</v>
      </c>
      <c r="AJ40" s="594">
        <v>71000</v>
      </c>
      <c r="AK40" s="594">
        <v>7000</v>
      </c>
      <c r="AL40" s="594">
        <v>7000</v>
      </c>
      <c r="AM40" s="594">
        <v>26000</v>
      </c>
      <c r="AN40" s="594">
        <v>10000</v>
      </c>
      <c r="AO40" s="594">
        <v>28000</v>
      </c>
      <c r="AP40" s="581">
        <v>217000</v>
      </c>
      <c r="AQ40" s="594">
        <v>60000</v>
      </c>
      <c r="AR40" s="594">
        <v>6000</v>
      </c>
      <c r="AS40" s="594">
        <v>0</v>
      </c>
      <c r="AT40" s="594">
        <v>36000</v>
      </c>
      <c r="AU40" s="581">
        <v>137000</v>
      </c>
      <c r="AV40" s="594">
        <v>60000</v>
      </c>
      <c r="AW40" s="594">
        <v>6000</v>
      </c>
      <c r="AX40" s="594">
        <v>0</v>
      </c>
      <c r="AY40" s="581">
        <v>66000</v>
      </c>
      <c r="AZ40" s="594">
        <v>34000</v>
      </c>
      <c r="BA40" s="594">
        <v>1000</v>
      </c>
      <c r="BB40" s="581">
        <v>35000</v>
      </c>
      <c r="BC40" s="597">
        <f>Table35[[#This Row],[Total Expenditure]]/Table35[[#This Row],[Number of pupils (FTE)]]</f>
        <v>5593.2203389830511</v>
      </c>
      <c r="BD40" s="598">
        <f>Table35[[#This Row],[Total Staff Costs]]/Table35[[#This Row],[Number of pupils (FTE)]]</f>
        <v>4360.7748184019374</v>
      </c>
      <c r="BE40" s="598">
        <f>Table35[[#This Row],[Teaching staff]]/Table35[[#This Row],[Number of teachers in academy (FTE)]]</f>
        <v>0</v>
      </c>
      <c r="BF40" s="599">
        <f>Table35[[#This Row],[Number of pupils (FTE)]]/Table35[[#This Row],[Number of teachers in academy (FTE)]]</f>
        <v>26.993464052287582</v>
      </c>
      <c r="BG40" s="600">
        <f t="shared" si="0"/>
        <v>779.66101694915255</v>
      </c>
      <c r="BH40" s="598">
        <f>Table35[[#This Row],[Premises Costs]]/Table35[[#This Row],[Number of pupils (FTE)]]</f>
        <v>375.30266343825667</v>
      </c>
      <c r="BI40" s="598">
        <f>Table35[[#This Row],[Maintenance &amp; Improvement Costs]]/Table35[[#This Row],[Number of pupils (FTE)]]</f>
        <v>208.23244552058111</v>
      </c>
      <c r="BJ40" s="598" t="e">
        <f>#REF!/E40</f>
        <v>#REF!</v>
      </c>
      <c r="BK40" s="598">
        <f t="shared" si="1"/>
        <v>16.949152542372882</v>
      </c>
      <c r="BL40" s="598">
        <f t="shared" si="2"/>
        <v>16.949152542372882</v>
      </c>
      <c r="BM40" s="598">
        <f t="shared" si="3"/>
        <v>62.953995157384988</v>
      </c>
      <c r="BN40" s="598">
        <f t="shared" si="4"/>
        <v>145.27845036319613</v>
      </c>
      <c r="BO40" s="598">
        <f t="shared" si="5"/>
        <v>14.527845036319613</v>
      </c>
      <c r="BP40" s="598">
        <f t="shared" si="6"/>
        <v>87.167070217917669</v>
      </c>
      <c r="BQ40" s="598">
        <f t="shared" si="7"/>
        <v>331.7191283292978</v>
      </c>
      <c r="BR40" s="598">
        <f t="shared" si="8"/>
        <v>159.80629539951573</v>
      </c>
      <c r="BS40" s="598">
        <f t="shared" si="9"/>
        <v>84.745762711864401</v>
      </c>
    </row>
    <row r="41" spans="1:71" hidden="1" x14ac:dyDescent="0.35">
      <c r="A41" s="580">
        <v>925</v>
      </c>
      <c r="B41" s="580" t="s">
        <v>489</v>
      </c>
      <c r="C41" s="593" t="s">
        <v>549</v>
      </c>
      <c r="D41" s="593" t="s">
        <v>550</v>
      </c>
      <c r="E41" s="580">
        <v>137</v>
      </c>
      <c r="F41" s="580">
        <v>13</v>
      </c>
      <c r="G41" s="580" t="s">
        <v>500</v>
      </c>
      <c r="H41" s="580">
        <v>41.3</v>
      </c>
      <c r="I41" s="580">
        <v>8.4</v>
      </c>
      <c r="J41" s="580">
        <v>17.5</v>
      </c>
      <c r="K41" s="580">
        <v>0</v>
      </c>
      <c r="L41" s="581">
        <v>1475000</v>
      </c>
      <c r="M41" s="581">
        <v>1427000</v>
      </c>
      <c r="N41" s="582">
        <f>Table35[[#This Row],[Total Income]]-Table35[[#This Row],[Total Expenditure]]</f>
        <v>48000</v>
      </c>
      <c r="O41" s="581">
        <v>271000</v>
      </c>
      <c r="Z41" s="581">
        <v>1180000</v>
      </c>
      <c r="AA41" s="595">
        <f>M41-Z41-Table35[[#This Row],[Maintenance &amp; Improvement]]-Table35[[#This Row],[Cleaning &amp; Caretaking]]-Table35[[#This Row],[Catering Supply]]</f>
        <v>195000</v>
      </c>
      <c r="AB41" s="581">
        <v>23000</v>
      </c>
      <c r="AC41" s="594">
        <v>23000</v>
      </c>
      <c r="AD41" s="594">
        <v>4000</v>
      </c>
      <c r="AE41" s="594">
        <v>34000</v>
      </c>
      <c r="AF41" s="594">
        <v>0</v>
      </c>
      <c r="AG41" s="581">
        <v>61000</v>
      </c>
      <c r="AH41" s="581">
        <v>25000</v>
      </c>
      <c r="AI41" s="596">
        <v>0</v>
      </c>
      <c r="AJ41" s="594">
        <v>25000</v>
      </c>
      <c r="AK41" s="594">
        <v>4000</v>
      </c>
      <c r="AL41" s="594">
        <v>4000</v>
      </c>
      <c r="AM41" s="594">
        <v>36000</v>
      </c>
      <c r="AN41" s="594">
        <v>4000</v>
      </c>
      <c r="AO41" s="594">
        <v>16000</v>
      </c>
      <c r="AP41" s="581">
        <v>89000</v>
      </c>
      <c r="AQ41" s="594">
        <v>70000</v>
      </c>
      <c r="AR41" s="594">
        <v>9000</v>
      </c>
      <c r="AS41" s="594">
        <v>0</v>
      </c>
      <c r="AT41" s="594">
        <v>14000</v>
      </c>
      <c r="AU41" s="581">
        <v>97000</v>
      </c>
      <c r="AV41" s="594">
        <v>70000</v>
      </c>
      <c r="AW41" s="594">
        <v>9000</v>
      </c>
      <c r="AX41" s="594">
        <v>0</v>
      </c>
      <c r="AY41" s="581">
        <v>79000</v>
      </c>
      <c r="AZ41" s="594">
        <v>0</v>
      </c>
      <c r="BA41" s="594">
        <v>4000</v>
      </c>
      <c r="BB41" s="581">
        <v>4000</v>
      </c>
      <c r="BC41" s="597">
        <f>Table35[[#This Row],[Total Expenditure]]/Table35[[#This Row],[Number of pupils (FTE)]]</f>
        <v>10416.058394160584</v>
      </c>
      <c r="BD41" s="598">
        <f>Table35[[#This Row],[Total Staff Costs]]/Table35[[#This Row],[Number of pupils (FTE)]]</f>
        <v>8613.1386861313877</v>
      </c>
      <c r="BE41" s="598">
        <f>Table35[[#This Row],[Teaching staff]]/Table35[[#This Row],[Number of teachers in academy (FTE)]]</f>
        <v>0</v>
      </c>
      <c r="BF41" s="599">
        <f>Table35[[#This Row],[Number of pupils (FTE)]]/Table35[[#This Row],[Number of teachers in academy (FTE)]]</f>
        <v>10.538461538461538</v>
      </c>
      <c r="BG41" s="600">
        <f t="shared" si="0"/>
        <v>1423.3576642335765</v>
      </c>
      <c r="BH41" s="598">
        <f>Table35[[#This Row],[Premises Costs]]/Table35[[#This Row],[Number of pupils (FTE)]]</f>
        <v>445.25547445255472</v>
      </c>
      <c r="BI41" s="598">
        <f>Table35[[#This Row],[Maintenance &amp; Improvement Costs]]/Table35[[#This Row],[Number of pupils (FTE)]]</f>
        <v>167.88321167883211</v>
      </c>
      <c r="BJ41" s="598" t="e">
        <f>#REF!/E41</f>
        <v>#REF!</v>
      </c>
      <c r="BK41" s="598">
        <f t="shared" si="1"/>
        <v>29.197080291970803</v>
      </c>
      <c r="BL41" s="598">
        <f t="shared" si="2"/>
        <v>29.197080291970803</v>
      </c>
      <c r="BM41" s="598">
        <f t="shared" si="3"/>
        <v>262.77372262773724</v>
      </c>
      <c r="BN41" s="598">
        <f t="shared" si="4"/>
        <v>510.94890510948903</v>
      </c>
      <c r="BO41" s="598">
        <f t="shared" si="5"/>
        <v>65.693430656934311</v>
      </c>
      <c r="BP41" s="598">
        <f t="shared" si="6"/>
        <v>102.18978102189782</v>
      </c>
      <c r="BQ41" s="598">
        <f t="shared" si="7"/>
        <v>708.02919708029196</v>
      </c>
      <c r="BR41" s="598">
        <f t="shared" si="8"/>
        <v>576.64233576642334</v>
      </c>
      <c r="BS41" s="598">
        <f t="shared" si="9"/>
        <v>29.197080291970803</v>
      </c>
    </row>
    <row r="42" spans="1:71" ht="29" hidden="1" x14ac:dyDescent="0.35">
      <c r="A42" s="580">
        <v>925</v>
      </c>
      <c r="B42" s="580" t="s">
        <v>489</v>
      </c>
      <c r="C42" s="593" t="s">
        <v>551</v>
      </c>
      <c r="D42" s="593" t="s">
        <v>552</v>
      </c>
      <c r="E42" s="580">
        <v>203</v>
      </c>
      <c r="F42" s="580">
        <v>10.01</v>
      </c>
      <c r="G42" s="580" t="s">
        <v>500</v>
      </c>
      <c r="H42" s="580">
        <v>24.6</v>
      </c>
      <c r="I42" s="580">
        <v>4.9000000000000004</v>
      </c>
      <c r="J42" s="580">
        <v>12.3</v>
      </c>
      <c r="K42" s="580">
        <v>0</v>
      </c>
      <c r="L42" s="581">
        <v>1224000</v>
      </c>
      <c r="M42" s="581">
        <v>1182000</v>
      </c>
      <c r="N42" s="582">
        <f>Table35[[#This Row],[Total Income]]-Table35[[#This Row],[Total Expenditure]]</f>
        <v>42000</v>
      </c>
      <c r="O42" s="581">
        <v>50000</v>
      </c>
      <c r="Z42" s="581">
        <v>961000</v>
      </c>
      <c r="AA42" s="595">
        <f>M42-Z42-Table35[[#This Row],[Maintenance &amp; Improvement]]-Table35[[#This Row],[Cleaning &amp; Caretaking]]-Table35[[#This Row],[Catering Supply]]</f>
        <v>149000</v>
      </c>
      <c r="AB42" s="581">
        <v>9000</v>
      </c>
      <c r="AC42" s="594">
        <v>9000</v>
      </c>
      <c r="AD42" s="594">
        <v>5000</v>
      </c>
      <c r="AE42" s="594">
        <v>10000</v>
      </c>
      <c r="AF42" s="594">
        <v>0</v>
      </c>
      <c r="AG42" s="581">
        <v>24000</v>
      </c>
      <c r="AH42" s="581">
        <v>58000</v>
      </c>
      <c r="AI42" s="596">
        <v>0</v>
      </c>
      <c r="AJ42" s="594">
        <v>58000</v>
      </c>
      <c r="AK42" s="594">
        <v>2000</v>
      </c>
      <c r="AL42" s="594">
        <v>5000</v>
      </c>
      <c r="AM42" s="594">
        <v>19000</v>
      </c>
      <c r="AN42" s="594">
        <v>0</v>
      </c>
      <c r="AO42" s="594">
        <v>12000</v>
      </c>
      <c r="AP42" s="581">
        <v>96000</v>
      </c>
      <c r="AQ42" s="594">
        <v>26000</v>
      </c>
      <c r="AR42" s="594">
        <v>1000</v>
      </c>
      <c r="AS42" s="594">
        <v>0</v>
      </c>
      <c r="AT42" s="594">
        <v>55000</v>
      </c>
      <c r="AU42" s="581">
        <v>101000</v>
      </c>
      <c r="AV42" s="594">
        <v>26000</v>
      </c>
      <c r="AW42" s="594">
        <v>1000</v>
      </c>
      <c r="AX42" s="594">
        <v>0</v>
      </c>
      <c r="AY42" s="581">
        <v>27000</v>
      </c>
      <c r="AZ42" s="594">
        <v>17000</v>
      </c>
      <c r="BA42" s="594">
        <v>2000</v>
      </c>
      <c r="BB42" s="581">
        <v>19000</v>
      </c>
      <c r="BC42" s="597">
        <f>Table35[[#This Row],[Total Expenditure]]/Table35[[#This Row],[Number of pupils (FTE)]]</f>
        <v>5822.6600985221676</v>
      </c>
      <c r="BD42" s="598">
        <f>Table35[[#This Row],[Total Staff Costs]]/Table35[[#This Row],[Number of pupils (FTE)]]</f>
        <v>4733.9901477832509</v>
      </c>
      <c r="BE42" s="598">
        <f>Table35[[#This Row],[Teaching staff]]/Table35[[#This Row],[Number of teachers in academy (FTE)]]</f>
        <v>0</v>
      </c>
      <c r="BF42" s="599">
        <f>Table35[[#This Row],[Number of pupils (FTE)]]/Table35[[#This Row],[Number of teachers in academy (FTE)]]</f>
        <v>20.27972027972028</v>
      </c>
      <c r="BG42" s="600">
        <f t="shared" si="0"/>
        <v>733.99014778325125</v>
      </c>
      <c r="BH42" s="598">
        <f>Table35[[#This Row],[Premises Costs]]/Table35[[#This Row],[Number of pupils (FTE)]]</f>
        <v>118.22660098522168</v>
      </c>
      <c r="BI42" s="598">
        <f>Table35[[#This Row],[Maintenance &amp; Improvement Costs]]/Table35[[#This Row],[Number of pupils (FTE)]]</f>
        <v>44.334975369458128</v>
      </c>
      <c r="BJ42" s="598" t="e">
        <f>#REF!/E42</f>
        <v>#REF!</v>
      </c>
      <c r="BK42" s="598">
        <f t="shared" si="1"/>
        <v>9.8522167487684733</v>
      </c>
      <c r="BL42" s="598">
        <f t="shared" si="2"/>
        <v>24.630541871921181</v>
      </c>
      <c r="BM42" s="598">
        <f t="shared" si="3"/>
        <v>93.596059113300498</v>
      </c>
      <c r="BN42" s="598">
        <f t="shared" si="4"/>
        <v>128.07881773399015</v>
      </c>
      <c r="BO42" s="598">
        <f t="shared" si="5"/>
        <v>4.9261083743842367</v>
      </c>
      <c r="BP42" s="598">
        <f t="shared" si="6"/>
        <v>270.93596059113298</v>
      </c>
      <c r="BQ42" s="598">
        <f t="shared" si="7"/>
        <v>497.53694581280786</v>
      </c>
      <c r="BR42" s="598">
        <f t="shared" si="8"/>
        <v>133.00492610837438</v>
      </c>
      <c r="BS42" s="598">
        <f t="shared" si="9"/>
        <v>93.596059113300498</v>
      </c>
    </row>
    <row r="43" spans="1:71" ht="29" hidden="1" x14ac:dyDescent="0.35">
      <c r="A43" s="580">
        <v>925</v>
      </c>
      <c r="B43" s="580" t="s">
        <v>489</v>
      </c>
      <c r="C43" s="593" t="s">
        <v>553</v>
      </c>
      <c r="D43" s="593" t="s">
        <v>552</v>
      </c>
      <c r="E43" s="580">
        <v>674</v>
      </c>
      <c r="F43" s="580">
        <v>29.31</v>
      </c>
      <c r="G43" s="580" t="s">
        <v>500</v>
      </c>
      <c r="H43" s="580">
        <v>13.1</v>
      </c>
      <c r="I43" s="580">
        <v>2.6</v>
      </c>
      <c r="J43" s="580">
        <v>14.7</v>
      </c>
      <c r="K43" s="580">
        <v>0</v>
      </c>
      <c r="L43" s="581">
        <v>4071000</v>
      </c>
      <c r="M43" s="581">
        <v>3748000</v>
      </c>
      <c r="N43" s="582">
        <f>Table35[[#This Row],[Total Income]]-Table35[[#This Row],[Total Expenditure]]</f>
        <v>323000</v>
      </c>
      <c r="O43" s="581">
        <v>1111000</v>
      </c>
      <c r="Z43" s="581">
        <v>3070000</v>
      </c>
      <c r="AA43" s="595">
        <f>M43-Z43-Table35[[#This Row],[Maintenance &amp; Improvement]]-Table35[[#This Row],[Cleaning &amp; Caretaking]]-Table35[[#This Row],[Catering Supply]]</f>
        <v>446000</v>
      </c>
      <c r="AB43" s="581">
        <v>34000</v>
      </c>
      <c r="AC43" s="594">
        <v>34000</v>
      </c>
      <c r="AD43" s="594">
        <v>11000</v>
      </c>
      <c r="AE43" s="594">
        <v>65000</v>
      </c>
      <c r="AF43" s="594">
        <v>0</v>
      </c>
      <c r="AG43" s="581">
        <v>110000</v>
      </c>
      <c r="AH43" s="581">
        <v>187000</v>
      </c>
      <c r="AI43" s="596">
        <v>0</v>
      </c>
      <c r="AJ43" s="594">
        <v>187000</v>
      </c>
      <c r="AK43" s="594">
        <v>11000</v>
      </c>
      <c r="AL43" s="594">
        <v>9000</v>
      </c>
      <c r="AM43" s="594">
        <v>79000</v>
      </c>
      <c r="AN43" s="594">
        <v>0</v>
      </c>
      <c r="AO43" s="594">
        <v>21000</v>
      </c>
      <c r="AP43" s="581">
        <v>307000</v>
      </c>
      <c r="AQ43" s="594">
        <v>121000</v>
      </c>
      <c r="AR43" s="594">
        <v>1000</v>
      </c>
      <c r="AS43" s="594">
        <v>0</v>
      </c>
      <c r="AT43" s="594">
        <v>114000</v>
      </c>
      <c r="AU43" s="581">
        <v>261000</v>
      </c>
      <c r="AV43" s="594">
        <v>121000</v>
      </c>
      <c r="AW43" s="594">
        <v>1000</v>
      </c>
      <c r="AX43" s="594">
        <v>0</v>
      </c>
      <c r="AY43" s="581">
        <v>122000</v>
      </c>
      <c r="AZ43" s="594">
        <v>20000</v>
      </c>
      <c r="BA43" s="594">
        <v>5000</v>
      </c>
      <c r="BB43" s="581">
        <v>25000</v>
      </c>
      <c r="BC43" s="597">
        <f>Table35[[#This Row],[Total Expenditure]]/Table35[[#This Row],[Number of pupils (FTE)]]</f>
        <v>5560.8308605341244</v>
      </c>
      <c r="BD43" s="598">
        <f>Table35[[#This Row],[Total Staff Costs]]/Table35[[#This Row],[Number of pupils (FTE)]]</f>
        <v>4554.8961424332347</v>
      </c>
      <c r="BE43" s="598">
        <f>Table35[[#This Row],[Teaching staff]]/Table35[[#This Row],[Number of teachers in academy (FTE)]]</f>
        <v>0</v>
      </c>
      <c r="BF43" s="599">
        <f>Table35[[#This Row],[Number of pupils (FTE)]]/Table35[[#This Row],[Number of teachers in academy (FTE)]]</f>
        <v>22.995564653701809</v>
      </c>
      <c r="BG43" s="600">
        <f t="shared" si="0"/>
        <v>661.72106824925811</v>
      </c>
      <c r="BH43" s="598">
        <f>Table35[[#This Row],[Premises Costs]]/Table35[[#This Row],[Number of pupils (FTE)]]</f>
        <v>163.20474777448072</v>
      </c>
      <c r="BI43" s="598">
        <f>Table35[[#This Row],[Maintenance &amp; Improvement Costs]]/Table35[[#This Row],[Number of pupils (FTE)]]</f>
        <v>50.445103857566764</v>
      </c>
      <c r="BJ43" s="598" t="e">
        <f>#REF!/E43</f>
        <v>#REF!</v>
      </c>
      <c r="BK43" s="598">
        <f t="shared" si="1"/>
        <v>16.320474777448073</v>
      </c>
      <c r="BL43" s="598">
        <f t="shared" si="2"/>
        <v>13.353115727002967</v>
      </c>
      <c r="BM43" s="598">
        <f t="shared" si="3"/>
        <v>117.2106824925816</v>
      </c>
      <c r="BN43" s="598">
        <f t="shared" si="4"/>
        <v>179.52522255192878</v>
      </c>
      <c r="BO43" s="598">
        <f t="shared" si="5"/>
        <v>1.4836795252225519</v>
      </c>
      <c r="BP43" s="598">
        <f t="shared" si="6"/>
        <v>169.13946587537092</v>
      </c>
      <c r="BQ43" s="598">
        <f t="shared" si="7"/>
        <v>387.24035608308606</v>
      </c>
      <c r="BR43" s="598">
        <f t="shared" si="8"/>
        <v>181.00890207715133</v>
      </c>
      <c r="BS43" s="598">
        <f t="shared" si="9"/>
        <v>37.091988130563799</v>
      </c>
    </row>
    <row r="44" spans="1:71" ht="29" hidden="1" x14ac:dyDescent="0.35">
      <c r="A44" s="580">
        <v>925</v>
      </c>
      <c r="B44" s="580" t="s">
        <v>489</v>
      </c>
      <c r="C44" s="593" t="s">
        <v>554</v>
      </c>
      <c r="D44" s="593" t="s">
        <v>555</v>
      </c>
      <c r="E44" s="580">
        <v>196</v>
      </c>
      <c r="F44" s="580">
        <v>8</v>
      </c>
      <c r="G44" s="580" t="s">
        <v>500</v>
      </c>
      <c r="H44" s="580">
        <v>37.6</v>
      </c>
      <c r="I44" s="580">
        <v>3</v>
      </c>
      <c r="J44" s="580">
        <v>31.5</v>
      </c>
      <c r="K44" s="580">
        <v>0</v>
      </c>
      <c r="L44" s="581">
        <v>1437000</v>
      </c>
      <c r="M44" s="581">
        <v>1489000</v>
      </c>
      <c r="N44" s="582">
        <f>Table35[[#This Row],[Total Income]]-Table35[[#This Row],[Total Expenditure]]</f>
        <v>-52000</v>
      </c>
      <c r="O44" s="581">
        <v>0</v>
      </c>
      <c r="Z44" s="581">
        <v>909000</v>
      </c>
      <c r="AA44" s="595">
        <f>M44-Z44-Table35[[#This Row],[Maintenance &amp; Improvement]]-Table35[[#This Row],[Cleaning &amp; Caretaking]]-Table35[[#This Row],[Catering Supply]]</f>
        <v>209000</v>
      </c>
      <c r="AB44" s="581">
        <v>289000</v>
      </c>
      <c r="AC44" s="594">
        <v>289000</v>
      </c>
      <c r="AD44" s="594">
        <v>12000</v>
      </c>
      <c r="AE44" s="594">
        <v>53000</v>
      </c>
      <c r="AF44" s="594">
        <v>0</v>
      </c>
      <c r="AG44" s="581">
        <v>354000</v>
      </c>
      <c r="AH44" s="581">
        <v>70000</v>
      </c>
      <c r="AI44" s="596">
        <v>0</v>
      </c>
      <c r="AJ44" s="594">
        <v>70000</v>
      </c>
      <c r="AK44" s="594">
        <v>2000</v>
      </c>
      <c r="AL44" s="594">
        <v>5000</v>
      </c>
      <c r="AM44" s="594">
        <v>32000</v>
      </c>
      <c r="AN44" s="594">
        <v>5000</v>
      </c>
      <c r="AO44" s="594">
        <v>7000</v>
      </c>
      <c r="AP44" s="581">
        <v>121000</v>
      </c>
      <c r="AQ44" s="594">
        <v>47000</v>
      </c>
      <c r="AR44" s="594">
        <v>6000</v>
      </c>
      <c r="AS44" s="594">
        <v>0</v>
      </c>
      <c r="AT44" s="594">
        <v>22000</v>
      </c>
      <c r="AU44" s="581">
        <v>105000</v>
      </c>
      <c r="AV44" s="594">
        <v>47000</v>
      </c>
      <c r="AW44" s="594">
        <v>6000</v>
      </c>
      <c r="AX44" s="594">
        <v>0</v>
      </c>
      <c r="AY44" s="581">
        <v>53000</v>
      </c>
      <c r="AZ44" s="594">
        <v>27000</v>
      </c>
      <c r="BA44" s="594">
        <v>3000</v>
      </c>
      <c r="BB44" s="581">
        <v>30000</v>
      </c>
      <c r="BC44" s="597">
        <f>Table35[[#This Row],[Total Expenditure]]/Table35[[#This Row],[Number of pupils (FTE)]]</f>
        <v>7596.9387755102043</v>
      </c>
      <c r="BD44" s="598">
        <f>Table35[[#This Row],[Total Staff Costs]]/Table35[[#This Row],[Number of pupils (FTE)]]</f>
        <v>4637.7551020408164</v>
      </c>
      <c r="BE44" s="598">
        <f>Table35[[#This Row],[Teaching staff]]/Table35[[#This Row],[Number of teachers in academy (FTE)]]</f>
        <v>0</v>
      </c>
      <c r="BF44" s="599">
        <f>Table35[[#This Row],[Number of pupils (FTE)]]/Table35[[#This Row],[Number of teachers in academy (FTE)]]</f>
        <v>24.5</v>
      </c>
      <c r="BG44" s="600">
        <f t="shared" si="0"/>
        <v>1066.3265306122448</v>
      </c>
      <c r="BH44" s="598">
        <f>Table35[[#This Row],[Premises Costs]]/Table35[[#This Row],[Number of pupils (FTE)]]</f>
        <v>1806.1224489795918</v>
      </c>
      <c r="BI44" s="598">
        <f>Table35[[#This Row],[Maintenance &amp; Improvement Costs]]/Table35[[#This Row],[Number of pupils (FTE)]]</f>
        <v>1474.4897959183672</v>
      </c>
      <c r="BJ44" s="598" t="e">
        <f>#REF!/E44</f>
        <v>#REF!</v>
      </c>
      <c r="BK44" s="598">
        <f t="shared" si="1"/>
        <v>10.204081632653061</v>
      </c>
      <c r="BL44" s="598">
        <f t="shared" si="2"/>
        <v>25.510204081632654</v>
      </c>
      <c r="BM44" s="598">
        <f t="shared" si="3"/>
        <v>163.26530612244898</v>
      </c>
      <c r="BN44" s="598">
        <f t="shared" si="4"/>
        <v>239.79591836734693</v>
      </c>
      <c r="BO44" s="598">
        <f t="shared" si="5"/>
        <v>30.612244897959183</v>
      </c>
      <c r="BP44" s="598">
        <f t="shared" si="6"/>
        <v>112.24489795918367</v>
      </c>
      <c r="BQ44" s="598">
        <f t="shared" si="7"/>
        <v>535.71428571428567</v>
      </c>
      <c r="BR44" s="598">
        <f t="shared" si="8"/>
        <v>270.40816326530614</v>
      </c>
      <c r="BS44" s="598">
        <f t="shared" si="9"/>
        <v>153.0612244897959</v>
      </c>
    </row>
    <row r="45" spans="1:71" ht="29" hidden="1" x14ac:dyDescent="0.35">
      <c r="A45" s="580">
        <v>925</v>
      </c>
      <c r="B45" s="580" t="s">
        <v>489</v>
      </c>
      <c r="C45" s="593" t="s">
        <v>556</v>
      </c>
      <c r="D45" s="593" t="s">
        <v>557</v>
      </c>
      <c r="E45" s="580">
        <v>170</v>
      </c>
      <c r="F45" s="580">
        <v>8.0399999999999991</v>
      </c>
      <c r="G45" s="580" t="s">
        <v>500</v>
      </c>
      <c r="H45" s="580">
        <v>25.3</v>
      </c>
      <c r="I45" s="580">
        <v>3.5</v>
      </c>
      <c r="J45" s="580">
        <v>14.1</v>
      </c>
      <c r="K45" s="580">
        <v>0</v>
      </c>
      <c r="L45" s="581">
        <v>1077000</v>
      </c>
      <c r="M45" s="581">
        <v>983000</v>
      </c>
      <c r="N45" s="582">
        <f>Table35[[#This Row],[Total Income]]-Table35[[#This Row],[Total Expenditure]]</f>
        <v>94000</v>
      </c>
      <c r="O45" s="581">
        <v>233000</v>
      </c>
      <c r="Z45" s="581">
        <v>790000</v>
      </c>
      <c r="AA45" s="595">
        <f>M45-Z45-Table35[[#This Row],[Maintenance &amp; Improvement]]-Table35[[#This Row],[Cleaning &amp; Caretaking]]-Table35[[#This Row],[Catering Supply]]</f>
        <v>157000</v>
      </c>
      <c r="AB45" s="581">
        <v>12000</v>
      </c>
      <c r="AC45" s="594">
        <v>12000</v>
      </c>
      <c r="AD45" s="594">
        <v>8000</v>
      </c>
      <c r="AE45" s="594">
        <v>30000</v>
      </c>
      <c r="AF45" s="594">
        <v>0</v>
      </c>
      <c r="AG45" s="581">
        <v>50000</v>
      </c>
      <c r="AH45" s="581">
        <v>16000</v>
      </c>
      <c r="AI45" s="596">
        <v>0</v>
      </c>
      <c r="AJ45" s="594">
        <v>16000</v>
      </c>
      <c r="AK45" s="594">
        <v>3000</v>
      </c>
      <c r="AL45" s="594">
        <v>4000</v>
      </c>
      <c r="AM45" s="594">
        <v>14000</v>
      </c>
      <c r="AN45" s="594">
        <v>0</v>
      </c>
      <c r="AO45" s="594">
        <v>6000</v>
      </c>
      <c r="AP45" s="581">
        <v>43000</v>
      </c>
      <c r="AQ45" s="594">
        <v>44000</v>
      </c>
      <c r="AR45" s="594">
        <v>0</v>
      </c>
      <c r="AS45" s="594">
        <v>0</v>
      </c>
      <c r="AT45" s="594">
        <v>29000</v>
      </c>
      <c r="AU45" s="581">
        <v>100000</v>
      </c>
      <c r="AV45" s="594">
        <v>44000</v>
      </c>
      <c r="AW45" s="594">
        <v>0</v>
      </c>
      <c r="AX45" s="594">
        <v>0</v>
      </c>
      <c r="AY45" s="581">
        <v>44000</v>
      </c>
      <c r="AZ45" s="594">
        <v>8000</v>
      </c>
      <c r="BA45" s="594">
        <v>19000</v>
      </c>
      <c r="BB45" s="581">
        <v>27000</v>
      </c>
      <c r="BC45" s="597">
        <f>Table35[[#This Row],[Total Expenditure]]/Table35[[#This Row],[Number of pupils (FTE)]]</f>
        <v>5782.3529411764703</v>
      </c>
      <c r="BD45" s="598">
        <f>Table35[[#This Row],[Total Staff Costs]]/Table35[[#This Row],[Number of pupils (FTE)]]</f>
        <v>4647.0588235294117</v>
      </c>
      <c r="BE45" s="598">
        <f>Table35[[#This Row],[Teaching staff]]/Table35[[#This Row],[Number of teachers in academy (FTE)]]</f>
        <v>0</v>
      </c>
      <c r="BF45" s="599">
        <f>Table35[[#This Row],[Number of pupils (FTE)]]/Table35[[#This Row],[Number of teachers in academy (FTE)]]</f>
        <v>21.144278606965177</v>
      </c>
      <c r="BG45" s="600">
        <f t="shared" si="0"/>
        <v>923.52941176470586</v>
      </c>
      <c r="BH45" s="598">
        <f>Table35[[#This Row],[Premises Costs]]/Table35[[#This Row],[Number of pupils (FTE)]]</f>
        <v>294.11764705882354</v>
      </c>
      <c r="BI45" s="598">
        <f>Table35[[#This Row],[Maintenance &amp; Improvement Costs]]/Table35[[#This Row],[Number of pupils (FTE)]]</f>
        <v>70.588235294117652</v>
      </c>
      <c r="BJ45" s="598" t="e">
        <f>#REF!/E45</f>
        <v>#REF!</v>
      </c>
      <c r="BK45" s="598">
        <f t="shared" si="1"/>
        <v>17.647058823529413</v>
      </c>
      <c r="BL45" s="598">
        <f t="shared" si="2"/>
        <v>23.529411764705884</v>
      </c>
      <c r="BM45" s="598">
        <f t="shared" si="3"/>
        <v>82.352941176470594</v>
      </c>
      <c r="BN45" s="598">
        <f t="shared" si="4"/>
        <v>258.8235294117647</v>
      </c>
      <c r="BO45" s="598">
        <f t="shared" si="5"/>
        <v>0</v>
      </c>
      <c r="BP45" s="598">
        <f t="shared" si="6"/>
        <v>170.58823529411765</v>
      </c>
      <c r="BQ45" s="598">
        <f t="shared" si="7"/>
        <v>588.23529411764707</v>
      </c>
      <c r="BR45" s="598">
        <f t="shared" si="8"/>
        <v>258.8235294117647</v>
      </c>
      <c r="BS45" s="598">
        <f t="shared" si="9"/>
        <v>158.8235294117647</v>
      </c>
    </row>
    <row r="46" spans="1:71" ht="29" hidden="1" x14ac:dyDescent="0.35">
      <c r="A46" s="580">
        <v>925</v>
      </c>
      <c r="B46" s="580" t="s">
        <v>489</v>
      </c>
      <c r="C46" s="593" t="s">
        <v>558</v>
      </c>
      <c r="D46" s="593" t="s">
        <v>513</v>
      </c>
      <c r="E46" s="580">
        <v>233</v>
      </c>
      <c r="F46" s="580">
        <v>9.6</v>
      </c>
      <c r="G46" s="580" t="s">
        <v>500</v>
      </c>
      <c r="H46" s="580">
        <v>13.3</v>
      </c>
      <c r="I46" s="580">
        <v>1.3</v>
      </c>
      <c r="J46" s="580">
        <v>12.9</v>
      </c>
      <c r="K46" s="580">
        <v>0</v>
      </c>
      <c r="L46" s="581">
        <v>2251000</v>
      </c>
      <c r="M46" s="581">
        <v>2165000</v>
      </c>
      <c r="N46" s="582">
        <f>Table35[[#This Row],[Total Income]]-Table35[[#This Row],[Total Expenditure]]</f>
        <v>86000</v>
      </c>
      <c r="O46" s="581">
        <v>-29000</v>
      </c>
      <c r="Z46" s="581">
        <v>1090000</v>
      </c>
      <c r="AA46" s="595">
        <f>M46-Z46-Table35[[#This Row],[Maintenance &amp; Improvement]]-Table35[[#This Row],[Cleaning &amp; Caretaking]]-Table35[[#This Row],[Catering Supply]]</f>
        <v>528000</v>
      </c>
      <c r="AB46" s="581">
        <v>461000</v>
      </c>
      <c r="AC46" s="594">
        <v>461000</v>
      </c>
      <c r="AD46" s="594">
        <v>30000</v>
      </c>
      <c r="AE46" s="594">
        <v>47000</v>
      </c>
      <c r="AF46" s="594">
        <v>0</v>
      </c>
      <c r="AG46" s="581">
        <v>538000</v>
      </c>
      <c r="AH46" s="581">
        <v>61000</v>
      </c>
      <c r="AI46" s="596">
        <v>5000</v>
      </c>
      <c r="AJ46" s="594">
        <v>56000</v>
      </c>
      <c r="AK46" s="594">
        <v>3000</v>
      </c>
      <c r="AL46" s="594">
        <v>7000</v>
      </c>
      <c r="AM46" s="594">
        <v>14000</v>
      </c>
      <c r="AN46" s="594">
        <v>6000</v>
      </c>
      <c r="AO46" s="594">
        <v>134000</v>
      </c>
      <c r="AP46" s="581">
        <v>225000</v>
      </c>
      <c r="AQ46" s="594">
        <v>111000</v>
      </c>
      <c r="AR46" s="594">
        <v>8000</v>
      </c>
      <c r="AS46" s="594">
        <v>0</v>
      </c>
      <c r="AT46" s="594">
        <v>169000</v>
      </c>
      <c r="AU46" s="581">
        <v>312000</v>
      </c>
      <c r="AV46" s="594">
        <v>111000</v>
      </c>
      <c r="AW46" s="594">
        <v>8000</v>
      </c>
      <c r="AX46" s="594">
        <v>0</v>
      </c>
      <c r="AY46" s="581">
        <v>119000</v>
      </c>
      <c r="AZ46" s="594">
        <v>21000</v>
      </c>
      <c r="BA46" s="594">
        <v>3000</v>
      </c>
      <c r="BB46" s="581">
        <v>24000</v>
      </c>
      <c r="BC46" s="597">
        <f>Table35[[#This Row],[Total Expenditure]]/Table35[[#This Row],[Number of pupils (FTE)]]</f>
        <v>9291.8454935622321</v>
      </c>
      <c r="BD46" s="598">
        <f>Table35[[#This Row],[Total Staff Costs]]/Table35[[#This Row],[Number of pupils (FTE)]]</f>
        <v>4678.111587982833</v>
      </c>
      <c r="BE46" s="598">
        <f>Table35[[#This Row],[Teaching staff]]/Table35[[#This Row],[Number of teachers in academy (FTE)]]</f>
        <v>0</v>
      </c>
      <c r="BF46" s="599">
        <f>Table35[[#This Row],[Number of pupils (FTE)]]/Table35[[#This Row],[Number of teachers in academy (FTE)]]</f>
        <v>24.270833333333336</v>
      </c>
      <c r="BG46" s="600">
        <f t="shared" si="0"/>
        <v>2266.0944206008585</v>
      </c>
      <c r="BH46" s="598">
        <f>Table35[[#This Row],[Premises Costs]]/Table35[[#This Row],[Number of pupils (FTE)]]</f>
        <v>2309.0128755364808</v>
      </c>
      <c r="BI46" s="598">
        <f>Table35[[#This Row],[Maintenance &amp; Improvement Costs]]/Table35[[#This Row],[Number of pupils (FTE)]]</f>
        <v>1978.5407725321888</v>
      </c>
      <c r="BJ46" s="598" t="e">
        <f>#REF!/E46</f>
        <v>#REF!</v>
      </c>
      <c r="BK46" s="598">
        <f t="shared" si="1"/>
        <v>12.875536480686696</v>
      </c>
      <c r="BL46" s="598">
        <f t="shared" si="2"/>
        <v>30.042918454935624</v>
      </c>
      <c r="BM46" s="598">
        <f t="shared" si="3"/>
        <v>60.085836909871247</v>
      </c>
      <c r="BN46" s="598">
        <f t="shared" si="4"/>
        <v>476.3948497854077</v>
      </c>
      <c r="BO46" s="598">
        <f t="shared" si="5"/>
        <v>34.334763948497852</v>
      </c>
      <c r="BP46" s="598">
        <f t="shared" si="6"/>
        <v>725.32188841201719</v>
      </c>
      <c r="BQ46" s="598">
        <f t="shared" si="7"/>
        <v>1339.0557939914163</v>
      </c>
      <c r="BR46" s="598">
        <f t="shared" si="8"/>
        <v>510.72961373390558</v>
      </c>
      <c r="BS46" s="598">
        <f t="shared" si="9"/>
        <v>103.00429184549357</v>
      </c>
    </row>
    <row r="47" spans="1:71" ht="29" hidden="1" x14ac:dyDescent="0.35">
      <c r="A47" s="580">
        <v>925</v>
      </c>
      <c r="B47" s="580" t="s">
        <v>489</v>
      </c>
      <c r="C47" s="593" t="s">
        <v>559</v>
      </c>
      <c r="D47" s="593" t="s">
        <v>519</v>
      </c>
      <c r="E47" s="580">
        <v>502</v>
      </c>
      <c r="F47" s="580">
        <v>23.5</v>
      </c>
      <c r="G47" s="580" t="s">
        <v>500</v>
      </c>
      <c r="H47" s="580">
        <v>27.3</v>
      </c>
      <c r="I47" s="580">
        <v>3.2</v>
      </c>
      <c r="J47" s="580">
        <v>8.8000000000000007</v>
      </c>
      <c r="K47" s="580">
        <v>0</v>
      </c>
      <c r="L47" s="581">
        <v>3301000</v>
      </c>
      <c r="M47" s="581">
        <v>2916000</v>
      </c>
      <c r="N47" s="582">
        <f>Table35[[#This Row],[Total Income]]-Table35[[#This Row],[Total Expenditure]]</f>
        <v>385000</v>
      </c>
      <c r="O47" s="581">
        <v>0</v>
      </c>
      <c r="Z47" s="581">
        <v>2339000</v>
      </c>
      <c r="AA47" s="595">
        <f>M47-Z47-Table35[[#This Row],[Maintenance &amp; Improvement]]-Table35[[#This Row],[Cleaning &amp; Caretaking]]-Table35[[#This Row],[Catering Supply]]</f>
        <v>372000</v>
      </c>
      <c r="AB47" s="581">
        <v>13000</v>
      </c>
      <c r="AC47" s="594">
        <v>13000</v>
      </c>
      <c r="AD47" s="594">
        <v>38000</v>
      </c>
      <c r="AE47" s="594">
        <v>44000</v>
      </c>
      <c r="AF47" s="594">
        <v>0</v>
      </c>
      <c r="AG47" s="581">
        <v>95000</v>
      </c>
      <c r="AH47" s="581">
        <v>186000</v>
      </c>
      <c r="AI47" s="596">
        <v>32000</v>
      </c>
      <c r="AJ47" s="594">
        <v>154000</v>
      </c>
      <c r="AK47" s="594">
        <v>6000</v>
      </c>
      <c r="AL47" s="594">
        <v>20000</v>
      </c>
      <c r="AM47" s="594">
        <v>63000</v>
      </c>
      <c r="AN47" s="594">
        <v>0</v>
      </c>
      <c r="AO47" s="594">
        <v>9000</v>
      </c>
      <c r="AP47" s="581">
        <v>284000</v>
      </c>
      <c r="AQ47" s="594">
        <v>104000</v>
      </c>
      <c r="AR47" s="594">
        <v>8000</v>
      </c>
      <c r="AS47" s="594">
        <v>0</v>
      </c>
      <c r="AT47" s="594">
        <v>15000</v>
      </c>
      <c r="AU47" s="581">
        <v>198000</v>
      </c>
      <c r="AV47" s="594">
        <v>104000</v>
      </c>
      <c r="AW47" s="594">
        <v>8000</v>
      </c>
      <c r="AX47" s="594">
        <v>0</v>
      </c>
      <c r="AY47" s="581">
        <v>112000</v>
      </c>
      <c r="AZ47" s="594">
        <v>61000</v>
      </c>
      <c r="BA47" s="594">
        <v>10000</v>
      </c>
      <c r="BB47" s="581">
        <v>71000</v>
      </c>
      <c r="BC47" s="597">
        <f>Table35[[#This Row],[Total Expenditure]]/Table35[[#This Row],[Number of pupils (FTE)]]</f>
        <v>5808.7649402390434</v>
      </c>
      <c r="BD47" s="598">
        <f>Table35[[#This Row],[Total Staff Costs]]/Table35[[#This Row],[Number of pupils (FTE)]]</f>
        <v>4659.3625498007968</v>
      </c>
      <c r="BE47" s="598">
        <f>Table35[[#This Row],[Teaching staff]]/Table35[[#This Row],[Number of teachers in academy (FTE)]]</f>
        <v>0</v>
      </c>
      <c r="BF47" s="599">
        <f>Table35[[#This Row],[Number of pupils (FTE)]]/Table35[[#This Row],[Number of teachers in academy (FTE)]]</f>
        <v>21.361702127659573</v>
      </c>
      <c r="BG47" s="600">
        <f t="shared" si="0"/>
        <v>741.03585657370513</v>
      </c>
      <c r="BH47" s="598">
        <f>Table35[[#This Row],[Premises Costs]]/Table35[[#This Row],[Number of pupils (FTE)]]</f>
        <v>189.24302788844622</v>
      </c>
      <c r="BI47" s="598">
        <f>Table35[[#This Row],[Maintenance &amp; Improvement Costs]]/Table35[[#This Row],[Number of pupils (FTE)]]</f>
        <v>25.89641434262948</v>
      </c>
      <c r="BJ47" s="598" t="e">
        <f>#REF!/E47</f>
        <v>#REF!</v>
      </c>
      <c r="BK47" s="598">
        <f t="shared" si="1"/>
        <v>11.952191235059761</v>
      </c>
      <c r="BL47" s="598">
        <f t="shared" si="2"/>
        <v>39.840637450199203</v>
      </c>
      <c r="BM47" s="598">
        <f t="shared" si="3"/>
        <v>125.4980079681275</v>
      </c>
      <c r="BN47" s="598">
        <f t="shared" si="4"/>
        <v>207.17131474103584</v>
      </c>
      <c r="BO47" s="598">
        <f t="shared" si="5"/>
        <v>15.936254980079681</v>
      </c>
      <c r="BP47" s="598">
        <f t="shared" si="6"/>
        <v>29.880478087649401</v>
      </c>
      <c r="BQ47" s="598">
        <f t="shared" si="7"/>
        <v>394.42231075697214</v>
      </c>
      <c r="BR47" s="598">
        <f t="shared" si="8"/>
        <v>223.10756972111554</v>
      </c>
      <c r="BS47" s="598">
        <f t="shared" si="9"/>
        <v>141.43426294820716</v>
      </c>
    </row>
    <row r="48" spans="1:71" ht="29" hidden="1" x14ac:dyDescent="0.35">
      <c r="A48" s="580">
        <v>925</v>
      </c>
      <c r="B48" s="580" t="s">
        <v>489</v>
      </c>
      <c r="C48" s="593" t="s">
        <v>560</v>
      </c>
      <c r="D48" s="593" t="s">
        <v>545</v>
      </c>
      <c r="E48" s="580">
        <v>383</v>
      </c>
      <c r="F48" s="580">
        <v>18.2</v>
      </c>
      <c r="G48" s="580" t="s">
        <v>500</v>
      </c>
      <c r="H48" s="580">
        <v>53.9</v>
      </c>
      <c r="I48" s="580">
        <v>3.3</v>
      </c>
      <c r="J48" s="580">
        <v>21.9</v>
      </c>
      <c r="K48" s="580">
        <v>0</v>
      </c>
      <c r="L48" s="581">
        <v>2816000</v>
      </c>
      <c r="M48" s="581">
        <v>2673000</v>
      </c>
      <c r="N48" s="582">
        <f>Table35[[#This Row],[Total Income]]-Table35[[#This Row],[Total Expenditure]]</f>
        <v>143000</v>
      </c>
      <c r="O48" s="581">
        <v>15000</v>
      </c>
      <c r="Z48" s="581">
        <v>2154000</v>
      </c>
      <c r="AA48" s="595">
        <f>M48-Z48-Table35[[#This Row],[Maintenance &amp; Improvement]]-Table35[[#This Row],[Cleaning &amp; Caretaking]]-Table35[[#This Row],[Catering Supply]]</f>
        <v>336000</v>
      </c>
      <c r="AB48" s="581">
        <v>54000</v>
      </c>
      <c r="AC48" s="594">
        <v>54000</v>
      </c>
      <c r="AD48" s="594">
        <v>15000</v>
      </c>
      <c r="AE48" s="594">
        <v>69000</v>
      </c>
      <c r="AF48" s="594">
        <v>0</v>
      </c>
      <c r="AG48" s="581">
        <v>138000</v>
      </c>
      <c r="AH48" s="581">
        <v>114000</v>
      </c>
      <c r="AI48" s="596">
        <v>0</v>
      </c>
      <c r="AJ48" s="594">
        <v>114000</v>
      </c>
      <c r="AK48" s="594">
        <v>30000</v>
      </c>
      <c r="AL48" s="594">
        <v>9000</v>
      </c>
      <c r="AM48" s="594">
        <v>64000</v>
      </c>
      <c r="AN48" s="594">
        <v>9000</v>
      </c>
      <c r="AO48" s="594">
        <v>9000</v>
      </c>
      <c r="AP48" s="581">
        <v>235000</v>
      </c>
      <c r="AQ48" s="594">
        <v>89000</v>
      </c>
      <c r="AR48" s="594">
        <v>0</v>
      </c>
      <c r="AS48" s="594">
        <v>0</v>
      </c>
      <c r="AT48" s="594">
        <v>21000</v>
      </c>
      <c r="AU48" s="581">
        <v>146000</v>
      </c>
      <c r="AV48" s="594">
        <v>89000</v>
      </c>
      <c r="AW48" s="594">
        <v>0</v>
      </c>
      <c r="AX48" s="594">
        <v>0</v>
      </c>
      <c r="AY48" s="581">
        <v>89000</v>
      </c>
      <c r="AZ48" s="594">
        <v>36000</v>
      </c>
      <c r="BA48" s="594">
        <v>0</v>
      </c>
      <c r="BB48" s="581">
        <v>36000</v>
      </c>
      <c r="BC48" s="597">
        <f>Table35[[#This Row],[Total Expenditure]]/Table35[[#This Row],[Number of pupils (FTE)]]</f>
        <v>6979.1122715404699</v>
      </c>
      <c r="BD48" s="598">
        <f>Table35[[#This Row],[Total Staff Costs]]/Table35[[#This Row],[Number of pupils (FTE)]]</f>
        <v>5624.0208877284595</v>
      </c>
      <c r="BE48" s="598">
        <f>Table35[[#This Row],[Teaching staff]]/Table35[[#This Row],[Number of teachers in academy (FTE)]]</f>
        <v>0</v>
      </c>
      <c r="BF48" s="599">
        <f>Table35[[#This Row],[Number of pupils (FTE)]]/Table35[[#This Row],[Number of teachers in academy (FTE)]]</f>
        <v>21.043956043956044</v>
      </c>
      <c r="BG48" s="600">
        <f t="shared" si="0"/>
        <v>877.28459530026112</v>
      </c>
      <c r="BH48" s="598">
        <f>Table35[[#This Row],[Premises Costs]]/Table35[[#This Row],[Number of pupils (FTE)]]</f>
        <v>360.31331592689293</v>
      </c>
      <c r="BI48" s="598">
        <f>Table35[[#This Row],[Maintenance &amp; Improvement Costs]]/Table35[[#This Row],[Number of pupils (FTE)]]</f>
        <v>140.99216710182768</v>
      </c>
      <c r="BJ48" s="598" t="e">
        <f>#REF!/E48</f>
        <v>#REF!</v>
      </c>
      <c r="BK48" s="598">
        <f t="shared" si="1"/>
        <v>78.328981723237604</v>
      </c>
      <c r="BL48" s="598">
        <f t="shared" si="2"/>
        <v>23.49869451697128</v>
      </c>
      <c r="BM48" s="598">
        <f t="shared" si="3"/>
        <v>167.10182767624022</v>
      </c>
      <c r="BN48" s="598">
        <f t="shared" si="4"/>
        <v>232.37597911227155</v>
      </c>
      <c r="BO48" s="598">
        <f t="shared" si="5"/>
        <v>0</v>
      </c>
      <c r="BP48" s="598">
        <f t="shared" si="6"/>
        <v>54.83028720626632</v>
      </c>
      <c r="BQ48" s="598">
        <f t="shared" si="7"/>
        <v>381.20104438642295</v>
      </c>
      <c r="BR48" s="598">
        <f t="shared" si="8"/>
        <v>232.37597911227155</v>
      </c>
      <c r="BS48" s="598">
        <f t="shared" si="9"/>
        <v>93.994778067885122</v>
      </c>
    </row>
    <row r="49" spans="1:71" ht="29" hidden="1" x14ac:dyDescent="0.35">
      <c r="A49" s="580">
        <v>925</v>
      </c>
      <c r="B49" s="580" t="s">
        <v>489</v>
      </c>
      <c r="C49" s="593" t="s">
        <v>561</v>
      </c>
      <c r="D49" s="593" t="s">
        <v>516</v>
      </c>
      <c r="E49" s="580">
        <v>324</v>
      </c>
      <c r="F49" s="580">
        <v>16.600000000000001</v>
      </c>
      <c r="G49" s="580" t="s">
        <v>500</v>
      </c>
      <c r="H49" s="580">
        <v>22.8</v>
      </c>
      <c r="I49" s="580">
        <v>2.2000000000000002</v>
      </c>
      <c r="J49" s="580">
        <v>8</v>
      </c>
      <c r="K49" s="580">
        <v>0</v>
      </c>
      <c r="L49" s="581">
        <v>1951000</v>
      </c>
      <c r="M49" s="581">
        <v>1828000</v>
      </c>
      <c r="N49" s="582">
        <f>Table35[[#This Row],[Total Income]]-Table35[[#This Row],[Total Expenditure]]</f>
        <v>123000</v>
      </c>
      <c r="O49" s="581">
        <v>0</v>
      </c>
      <c r="Z49" s="581">
        <v>1525000</v>
      </c>
      <c r="AA49" s="595">
        <f>M49-Z49-Table35[[#This Row],[Maintenance &amp; Improvement]]-Table35[[#This Row],[Cleaning &amp; Caretaking]]-Table35[[#This Row],[Catering Supply]]</f>
        <v>201000</v>
      </c>
      <c r="AB49" s="581">
        <v>7000</v>
      </c>
      <c r="AC49" s="594">
        <v>7000</v>
      </c>
      <c r="AD49" s="594">
        <v>13000</v>
      </c>
      <c r="AE49" s="594">
        <v>33000</v>
      </c>
      <c r="AF49" s="594">
        <v>0</v>
      </c>
      <c r="AG49" s="581">
        <v>53000</v>
      </c>
      <c r="AH49" s="581">
        <v>82000</v>
      </c>
      <c r="AI49" s="596">
        <v>0</v>
      </c>
      <c r="AJ49" s="594">
        <v>82000</v>
      </c>
      <c r="AK49" s="594">
        <v>2000</v>
      </c>
      <c r="AL49" s="594">
        <v>9000</v>
      </c>
      <c r="AM49" s="594">
        <v>20000</v>
      </c>
      <c r="AN49" s="594">
        <v>7000</v>
      </c>
      <c r="AO49" s="594">
        <v>7000</v>
      </c>
      <c r="AP49" s="581">
        <v>127000</v>
      </c>
      <c r="AQ49" s="594">
        <v>74000</v>
      </c>
      <c r="AR49" s="594">
        <v>7000</v>
      </c>
      <c r="AS49" s="594">
        <v>0</v>
      </c>
      <c r="AT49" s="594">
        <v>28000</v>
      </c>
      <c r="AU49" s="581">
        <v>123000</v>
      </c>
      <c r="AV49" s="594">
        <v>74000</v>
      </c>
      <c r="AW49" s="594">
        <v>7000</v>
      </c>
      <c r="AX49" s="594">
        <v>0</v>
      </c>
      <c r="AY49" s="581">
        <v>81000</v>
      </c>
      <c r="AZ49" s="594">
        <v>14000</v>
      </c>
      <c r="BA49" s="594">
        <v>0</v>
      </c>
      <c r="BB49" s="581">
        <v>14000</v>
      </c>
      <c r="BC49" s="597">
        <f>Table35[[#This Row],[Total Expenditure]]/Table35[[#This Row],[Number of pupils (FTE)]]</f>
        <v>5641.9753086419751</v>
      </c>
      <c r="BD49" s="598">
        <f>Table35[[#This Row],[Total Staff Costs]]/Table35[[#This Row],[Number of pupils (FTE)]]</f>
        <v>4706.7901234567898</v>
      </c>
      <c r="BE49" s="598">
        <f>Table35[[#This Row],[Teaching staff]]/Table35[[#This Row],[Number of teachers in academy (FTE)]]</f>
        <v>0</v>
      </c>
      <c r="BF49" s="599">
        <f>Table35[[#This Row],[Number of pupils (FTE)]]/Table35[[#This Row],[Number of teachers in academy (FTE)]]</f>
        <v>19.518072289156624</v>
      </c>
      <c r="BG49" s="600">
        <f t="shared" si="0"/>
        <v>620.37037037037032</v>
      </c>
      <c r="BH49" s="598">
        <f>Table35[[#This Row],[Premises Costs]]/Table35[[#This Row],[Number of pupils (FTE)]]</f>
        <v>163.58024691358025</v>
      </c>
      <c r="BI49" s="598">
        <f>Table35[[#This Row],[Maintenance &amp; Improvement Costs]]/Table35[[#This Row],[Number of pupils (FTE)]]</f>
        <v>21.604938271604937</v>
      </c>
      <c r="BJ49" s="598" t="e">
        <f>#REF!/E49</f>
        <v>#REF!</v>
      </c>
      <c r="BK49" s="598">
        <f t="shared" si="1"/>
        <v>6.1728395061728394</v>
      </c>
      <c r="BL49" s="598">
        <f t="shared" si="2"/>
        <v>27.777777777777779</v>
      </c>
      <c r="BM49" s="598">
        <f t="shared" si="3"/>
        <v>61.728395061728392</v>
      </c>
      <c r="BN49" s="598">
        <f t="shared" si="4"/>
        <v>228.39506172839506</v>
      </c>
      <c r="BO49" s="598">
        <f t="shared" si="5"/>
        <v>21.604938271604937</v>
      </c>
      <c r="BP49" s="598">
        <f t="shared" si="6"/>
        <v>86.419753086419746</v>
      </c>
      <c r="BQ49" s="598">
        <f t="shared" si="7"/>
        <v>379.62962962962962</v>
      </c>
      <c r="BR49" s="598">
        <f t="shared" si="8"/>
        <v>250</v>
      </c>
      <c r="BS49" s="598">
        <f t="shared" si="9"/>
        <v>43.209876543209873</v>
      </c>
    </row>
    <row r="50" spans="1:71" ht="29" hidden="1" x14ac:dyDescent="0.35">
      <c r="A50" s="580">
        <v>925</v>
      </c>
      <c r="B50" s="580" t="s">
        <v>489</v>
      </c>
      <c r="C50" s="593" t="s">
        <v>562</v>
      </c>
      <c r="D50" s="593" t="s">
        <v>516</v>
      </c>
      <c r="E50" s="580">
        <v>220</v>
      </c>
      <c r="F50" s="580">
        <v>10.6</v>
      </c>
      <c r="G50" s="580" t="s">
        <v>500</v>
      </c>
      <c r="H50" s="580">
        <v>52.6</v>
      </c>
      <c r="I50" s="580">
        <v>3.5</v>
      </c>
      <c r="J50" s="580">
        <v>11.6</v>
      </c>
      <c r="K50" s="580">
        <v>0</v>
      </c>
      <c r="L50" s="581">
        <v>1654000</v>
      </c>
      <c r="M50" s="581">
        <v>1591000</v>
      </c>
      <c r="N50" s="582">
        <f>Table35[[#This Row],[Total Income]]-Table35[[#This Row],[Total Expenditure]]</f>
        <v>63000</v>
      </c>
      <c r="O50" s="581">
        <v>0</v>
      </c>
      <c r="Z50" s="581">
        <v>1300000</v>
      </c>
      <c r="AA50" s="595">
        <f>M50-Z50-Table35[[#This Row],[Maintenance &amp; Improvement]]-Table35[[#This Row],[Cleaning &amp; Caretaking]]-Table35[[#This Row],[Catering Supply]]</f>
        <v>180000</v>
      </c>
      <c r="AB50" s="581">
        <v>8000</v>
      </c>
      <c r="AC50" s="594">
        <v>8000</v>
      </c>
      <c r="AD50" s="594">
        <v>6000</v>
      </c>
      <c r="AE50" s="594">
        <v>32000</v>
      </c>
      <c r="AF50" s="594">
        <v>0</v>
      </c>
      <c r="AG50" s="581">
        <v>46000</v>
      </c>
      <c r="AH50" s="581">
        <v>107000</v>
      </c>
      <c r="AI50" s="596">
        <v>10000</v>
      </c>
      <c r="AJ50" s="594">
        <v>97000</v>
      </c>
      <c r="AK50" s="594">
        <v>2000</v>
      </c>
      <c r="AL50" s="594">
        <v>4000</v>
      </c>
      <c r="AM50" s="594">
        <v>15000</v>
      </c>
      <c r="AN50" s="594">
        <v>5000</v>
      </c>
      <c r="AO50" s="594">
        <v>4000</v>
      </c>
      <c r="AP50" s="581">
        <v>137000</v>
      </c>
      <c r="AQ50" s="594">
        <v>30000</v>
      </c>
      <c r="AR50" s="594">
        <v>3000</v>
      </c>
      <c r="AS50" s="594">
        <v>0</v>
      </c>
      <c r="AT50" s="594">
        <v>49000</v>
      </c>
      <c r="AU50" s="581">
        <v>108000</v>
      </c>
      <c r="AV50" s="594">
        <v>30000</v>
      </c>
      <c r="AW50" s="594">
        <v>3000</v>
      </c>
      <c r="AX50" s="594">
        <v>0</v>
      </c>
      <c r="AY50" s="581">
        <v>33000</v>
      </c>
      <c r="AZ50" s="594">
        <v>26000</v>
      </c>
      <c r="BA50" s="594">
        <v>0</v>
      </c>
      <c r="BB50" s="581">
        <v>26000</v>
      </c>
      <c r="BC50" s="597">
        <f>Table35[[#This Row],[Total Expenditure]]/Table35[[#This Row],[Number of pupils (FTE)]]</f>
        <v>7231.818181818182</v>
      </c>
      <c r="BD50" s="598">
        <f>Table35[[#This Row],[Total Staff Costs]]/Table35[[#This Row],[Number of pupils (FTE)]]</f>
        <v>5909.090909090909</v>
      </c>
      <c r="BE50" s="598">
        <f>Table35[[#This Row],[Teaching staff]]/Table35[[#This Row],[Number of teachers in academy (FTE)]]</f>
        <v>0</v>
      </c>
      <c r="BF50" s="599">
        <f>Table35[[#This Row],[Number of pupils (FTE)]]/Table35[[#This Row],[Number of teachers in academy (FTE)]]</f>
        <v>20.754716981132077</v>
      </c>
      <c r="BG50" s="600">
        <f t="shared" si="0"/>
        <v>818.18181818181813</v>
      </c>
      <c r="BH50" s="598">
        <f>Table35[[#This Row],[Premises Costs]]/Table35[[#This Row],[Number of pupils (FTE)]]</f>
        <v>209.09090909090909</v>
      </c>
      <c r="BI50" s="598">
        <f>Table35[[#This Row],[Maintenance &amp; Improvement Costs]]/Table35[[#This Row],[Number of pupils (FTE)]]</f>
        <v>36.363636363636367</v>
      </c>
      <c r="BJ50" s="598" t="e">
        <f>#REF!/E50</f>
        <v>#REF!</v>
      </c>
      <c r="BK50" s="598">
        <f t="shared" si="1"/>
        <v>9.0909090909090917</v>
      </c>
      <c r="BL50" s="598">
        <f t="shared" si="2"/>
        <v>18.181818181818183</v>
      </c>
      <c r="BM50" s="598">
        <f t="shared" si="3"/>
        <v>68.181818181818187</v>
      </c>
      <c r="BN50" s="598">
        <f t="shared" si="4"/>
        <v>136.36363636363637</v>
      </c>
      <c r="BO50" s="598">
        <f t="shared" si="5"/>
        <v>13.636363636363637</v>
      </c>
      <c r="BP50" s="598">
        <f t="shared" si="6"/>
        <v>222.72727272727272</v>
      </c>
      <c r="BQ50" s="598">
        <f t="shared" si="7"/>
        <v>490.90909090909093</v>
      </c>
      <c r="BR50" s="598">
        <f t="shared" si="8"/>
        <v>150</v>
      </c>
      <c r="BS50" s="598">
        <f t="shared" si="9"/>
        <v>118.18181818181819</v>
      </c>
    </row>
    <row r="51" spans="1:71" ht="29" hidden="1" x14ac:dyDescent="0.35">
      <c r="A51" s="580">
        <v>925</v>
      </c>
      <c r="B51" s="580" t="s">
        <v>489</v>
      </c>
      <c r="C51" s="593" t="s">
        <v>563</v>
      </c>
      <c r="D51" s="593" t="s">
        <v>552</v>
      </c>
      <c r="E51" s="580">
        <v>65</v>
      </c>
      <c r="F51" s="580">
        <v>4.5999999999999996</v>
      </c>
      <c r="G51" s="580" t="s">
        <v>500</v>
      </c>
      <c r="H51" s="580">
        <v>36.9</v>
      </c>
      <c r="I51" s="580">
        <v>3.1</v>
      </c>
      <c r="J51" s="580">
        <v>33.799999999999997</v>
      </c>
      <c r="K51" s="580">
        <v>0</v>
      </c>
      <c r="L51" s="581">
        <v>630000</v>
      </c>
      <c r="M51" s="581">
        <v>575000</v>
      </c>
      <c r="N51" s="582">
        <f>Table35[[#This Row],[Total Income]]-Table35[[#This Row],[Total Expenditure]]</f>
        <v>55000</v>
      </c>
      <c r="O51" s="581">
        <v>118000</v>
      </c>
      <c r="Z51" s="581">
        <v>460000</v>
      </c>
      <c r="AA51" s="595">
        <f>M51-Z51-Table35[[#This Row],[Maintenance &amp; Improvement]]-Table35[[#This Row],[Cleaning &amp; Caretaking]]-Table35[[#This Row],[Catering Supply]]</f>
        <v>99000</v>
      </c>
      <c r="AB51" s="581">
        <v>15000</v>
      </c>
      <c r="AC51" s="594">
        <v>15000</v>
      </c>
      <c r="AD51" s="594">
        <v>1000</v>
      </c>
      <c r="AE51" s="594">
        <v>0</v>
      </c>
      <c r="AF51" s="594">
        <v>0</v>
      </c>
      <c r="AG51" s="581">
        <v>16000</v>
      </c>
      <c r="AH51" s="581">
        <v>0</v>
      </c>
      <c r="AI51" s="596">
        <v>0</v>
      </c>
      <c r="AJ51" s="594">
        <v>0</v>
      </c>
      <c r="AK51" s="594">
        <v>11000</v>
      </c>
      <c r="AL51" s="594">
        <v>2000</v>
      </c>
      <c r="AM51" s="594">
        <v>15000</v>
      </c>
      <c r="AN51" s="594">
        <v>0</v>
      </c>
      <c r="AO51" s="594">
        <v>7000</v>
      </c>
      <c r="AP51" s="581">
        <v>35000</v>
      </c>
      <c r="AQ51" s="594">
        <v>12000</v>
      </c>
      <c r="AR51" s="594">
        <v>1000</v>
      </c>
      <c r="AS51" s="594">
        <v>0</v>
      </c>
      <c r="AT51" s="594">
        <v>38000</v>
      </c>
      <c r="AU51" s="581">
        <v>64000</v>
      </c>
      <c r="AV51" s="594">
        <v>12000</v>
      </c>
      <c r="AW51" s="594">
        <v>1000</v>
      </c>
      <c r="AX51" s="594">
        <v>0</v>
      </c>
      <c r="AY51" s="581">
        <v>13000</v>
      </c>
      <c r="AZ51" s="594">
        <v>13000</v>
      </c>
      <c r="BA51" s="594">
        <v>0</v>
      </c>
      <c r="BB51" s="581">
        <v>13000</v>
      </c>
      <c r="BC51" s="597">
        <f>Table35[[#This Row],[Total Expenditure]]/Table35[[#This Row],[Number of pupils (FTE)]]</f>
        <v>8846.1538461538457</v>
      </c>
      <c r="BD51" s="598">
        <f>Table35[[#This Row],[Total Staff Costs]]/Table35[[#This Row],[Number of pupils (FTE)]]</f>
        <v>7076.9230769230771</v>
      </c>
      <c r="BE51" s="598">
        <f>Table35[[#This Row],[Teaching staff]]/Table35[[#This Row],[Number of teachers in academy (FTE)]]</f>
        <v>0</v>
      </c>
      <c r="BF51" s="599">
        <f>Table35[[#This Row],[Number of pupils (FTE)]]/Table35[[#This Row],[Number of teachers in academy (FTE)]]</f>
        <v>14.130434782608697</v>
      </c>
      <c r="BG51" s="600">
        <f t="shared" si="0"/>
        <v>1523.0769230769231</v>
      </c>
      <c r="BH51" s="598">
        <f>Table35[[#This Row],[Premises Costs]]/Table35[[#This Row],[Number of pupils (FTE)]]</f>
        <v>246.15384615384616</v>
      </c>
      <c r="BI51" s="598">
        <f>Table35[[#This Row],[Maintenance &amp; Improvement Costs]]/Table35[[#This Row],[Number of pupils (FTE)]]</f>
        <v>230.76923076923077</v>
      </c>
      <c r="BJ51" s="598" t="e">
        <f>#REF!/E51</f>
        <v>#REF!</v>
      </c>
      <c r="BK51" s="598">
        <f t="shared" si="1"/>
        <v>169.23076923076923</v>
      </c>
      <c r="BL51" s="598">
        <f t="shared" si="2"/>
        <v>30.76923076923077</v>
      </c>
      <c r="BM51" s="598">
        <f t="shared" si="3"/>
        <v>230.76923076923077</v>
      </c>
      <c r="BN51" s="598">
        <f t="shared" si="4"/>
        <v>184.61538461538461</v>
      </c>
      <c r="BO51" s="598">
        <f t="shared" si="5"/>
        <v>15.384615384615385</v>
      </c>
      <c r="BP51" s="598">
        <f t="shared" si="6"/>
        <v>584.61538461538464</v>
      </c>
      <c r="BQ51" s="598">
        <f t="shared" si="7"/>
        <v>984.61538461538464</v>
      </c>
      <c r="BR51" s="598">
        <f t="shared" si="8"/>
        <v>200</v>
      </c>
      <c r="BS51" s="598">
        <f t="shared" si="9"/>
        <v>200</v>
      </c>
    </row>
    <row r="52" spans="1:71" ht="29" hidden="1" x14ac:dyDescent="0.35">
      <c r="A52" s="580">
        <v>925</v>
      </c>
      <c r="B52" s="580" t="s">
        <v>489</v>
      </c>
      <c r="C52" s="593" t="s">
        <v>564</v>
      </c>
      <c r="D52" s="593" t="s">
        <v>552</v>
      </c>
      <c r="E52" s="580">
        <v>60</v>
      </c>
      <c r="F52" s="580">
        <v>2</v>
      </c>
      <c r="G52" s="580" t="s">
        <v>500</v>
      </c>
      <c r="H52" s="580">
        <v>36.700000000000003</v>
      </c>
      <c r="I52" s="580">
        <v>1.7</v>
      </c>
      <c r="J52" s="580">
        <v>28.3</v>
      </c>
      <c r="K52" s="580">
        <v>0</v>
      </c>
      <c r="L52" s="581">
        <v>518000</v>
      </c>
      <c r="M52" s="581">
        <v>609000</v>
      </c>
      <c r="N52" s="582">
        <f>Table35[[#This Row],[Total Income]]-Table35[[#This Row],[Total Expenditure]]</f>
        <v>-91000</v>
      </c>
      <c r="O52" s="581">
        <v>3000</v>
      </c>
      <c r="Z52" s="581">
        <v>512000</v>
      </c>
      <c r="AA52" s="595">
        <f>M52-Z52-Table35[[#This Row],[Maintenance &amp; Improvement]]-Table35[[#This Row],[Cleaning &amp; Caretaking]]-Table35[[#This Row],[Catering Supply]]</f>
        <v>90000</v>
      </c>
      <c r="AB52" s="581">
        <v>5000</v>
      </c>
      <c r="AC52" s="594">
        <v>5000</v>
      </c>
      <c r="AD52" s="594">
        <v>2000</v>
      </c>
      <c r="AE52" s="594">
        <v>12000</v>
      </c>
      <c r="AF52" s="594">
        <v>0</v>
      </c>
      <c r="AG52" s="581">
        <v>19000</v>
      </c>
      <c r="AH52" s="581">
        <v>0</v>
      </c>
      <c r="AI52" s="596">
        <v>0</v>
      </c>
      <c r="AJ52" s="594">
        <v>0</v>
      </c>
      <c r="AK52" s="594">
        <v>1000</v>
      </c>
      <c r="AL52" s="594">
        <v>1000</v>
      </c>
      <c r="AM52" s="594">
        <v>9000</v>
      </c>
      <c r="AN52" s="594">
        <v>0</v>
      </c>
      <c r="AO52" s="594">
        <v>5000</v>
      </c>
      <c r="AP52" s="581">
        <v>16000</v>
      </c>
      <c r="AQ52" s="594">
        <v>11000</v>
      </c>
      <c r="AR52" s="594">
        <v>3000</v>
      </c>
      <c r="AS52" s="594">
        <v>0</v>
      </c>
      <c r="AT52" s="594">
        <v>32000</v>
      </c>
      <c r="AU52" s="581">
        <v>62000</v>
      </c>
      <c r="AV52" s="594">
        <v>11000</v>
      </c>
      <c r="AW52" s="594">
        <v>3000</v>
      </c>
      <c r="AX52" s="594">
        <v>0</v>
      </c>
      <c r="AY52" s="581">
        <v>14000</v>
      </c>
      <c r="AZ52" s="594">
        <v>15000</v>
      </c>
      <c r="BA52" s="594">
        <v>1000</v>
      </c>
      <c r="BB52" s="581">
        <v>16000</v>
      </c>
      <c r="BC52" s="597">
        <f>Table35[[#This Row],[Total Expenditure]]/Table35[[#This Row],[Number of pupils (FTE)]]</f>
        <v>10150</v>
      </c>
      <c r="BD52" s="598">
        <f>Table35[[#This Row],[Total Staff Costs]]/Table35[[#This Row],[Number of pupils (FTE)]]</f>
        <v>8533.3333333333339</v>
      </c>
      <c r="BE52" s="598">
        <f>Table35[[#This Row],[Teaching staff]]/Table35[[#This Row],[Number of teachers in academy (FTE)]]</f>
        <v>0</v>
      </c>
      <c r="BF52" s="599">
        <f>Table35[[#This Row],[Number of pupils (FTE)]]/Table35[[#This Row],[Number of teachers in academy (FTE)]]</f>
        <v>30</v>
      </c>
      <c r="BG52" s="600">
        <f t="shared" si="0"/>
        <v>1500</v>
      </c>
      <c r="BH52" s="598">
        <f>Table35[[#This Row],[Premises Costs]]/Table35[[#This Row],[Number of pupils (FTE)]]</f>
        <v>316.66666666666669</v>
      </c>
      <c r="BI52" s="598">
        <f>Table35[[#This Row],[Maintenance &amp; Improvement Costs]]/Table35[[#This Row],[Number of pupils (FTE)]]</f>
        <v>83.333333333333329</v>
      </c>
      <c r="BJ52" s="598" t="e">
        <f>#REF!/E52</f>
        <v>#REF!</v>
      </c>
      <c r="BK52" s="598">
        <f t="shared" si="1"/>
        <v>16.666666666666668</v>
      </c>
      <c r="BL52" s="598">
        <f t="shared" si="2"/>
        <v>16.666666666666668</v>
      </c>
      <c r="BM52" s="598">
        <f t="shared" si="3"/>
        <v>150</v>
      </c>
      <c r="BN52" s="598">
        <f t="shared" si="4"/>
        <v>183.33333333333334</v>
      </c>
      <c r="BO52" s="598">
        <f t="shared" si="5"/>
        <v>50</v>
      </c>
      <c r="BP52" s="598">
        <f t="shared" si="6"/>
        <v>533.33333333333337</v>
      </c>
      <c r="BQ52" s="598">
        <f t="shared" si="7"/>
        <v>1033.3333333333333</v>
      </c>
      <c r="BR52" s="598">
        <f t="shared" si="8"/>
        <v>233.33333333333334</v>
      </c>
      <c r="BS52" s="598">
        <f t="shared" si="9"/>
        <v>266.66666666666669</v>
      </c>
    </row>
    <row r="53" spans="1:71" ht="29" hidden="1" x14ac:dyDescent="0.35">
      <c r="A53" s="580">
        <v>925</v>
      </c>
      <c r="B53" s="580" t="s">
        <v>489</v>
      </c>
      <c r="C53" s="593" t="s">
        <v>565</v>
      </c>
      <c r="D53" s="593" t="s">
        <v>538</v>
      </c>
      <c r="E53" s="580">
        <v>312</v>
      </c>
      <c r="F53" s="580">
        <v>9.94</v>
      </c>
      <c r="G53" s="580" t="s">
        <v>500</v>
      </c>
      <c r="H53" s="580">
        <v>34</v>
      </c>
      <c r="I53" s="580">
        <v>6.1</v>
      </c>
      <c r="J53" s="580">
        <v>19.899999999999999</v>
      </c>
      <c r="K53" s="580">
        <v>0</v>
      </c>
      <c r="L53" s="581">
        <v>2246000</v>
      </c>
      <c r="M53" s="581">
        <v>2232000</v>
      </c>
      <c r="N53" s="582">
        <f>Table35[[#This Row],[Total Income]]-Table35[[#This Row],[Total Expenditure]]</f>
        <v>14000</v>
      </c>
      <c r="O53" s="581">
        <v>287000</v>
      </c>
      <c r="Z53" s="581">
        <v>1780000</v>
      </c>
      <c r="AA53" s="595">
        <f>M53-Z53-Table35[[#This Row],[Maintenance &amp; Improvement]]-Table35[[#This Row],[Cleaning &amp; Caretaking]]-Table35[[#This Row],[Catering Supply]]</f>
        <v>340000</v>
      </c>
      <c r="AB53" s="581">
        <v>26000</v>
      </c>
      <c r="AC53" s="594">
        <v>26000</v>
      </c>
      <c r="AD53" s="594">
        <v>7000</v>
      </c>
      <c r="AE53" s="594">
        <v>71000</v>
      </c>
      <c r="AF53" s="594">
        <v>0</v>
      </c>
      <c r="AG53" s="581">
        <v>104000</v>
      </c>
      <c r="AH53" s="581">
        <v>79000</v>
      </c>
      <c r="AI53" s="596">
        <v>0</v>
      </c>
      <c r="AJ53" s="594">
        <v>79000</v>
      </c>
      <c r="AK53" s="594">
        <v>11000</v>
      </c>
      <c r="AL53" s="594">
        <v>5000</v>
      </c>
      <c r="AM53" s="594">
        <v>40000</v>
      </c>
      <c r="AN53" s="594">
        <v>7000</v>
      </c>
      <c r="AO53" s="594">
        <v>11000</v>
      </c>
      <c r="AP53" s="581">
        <v>153000</v>
      </c>
      <c r="AQ53" s="594">
        <v>96000</v>
      </c>
      <c r="AR53" s="594">
        <v>16000</v>
      </c>
      <c r="AS53" s="594">
        <v>0</v>
      </c>
      <c r="AT53" s="594">
        <v>57000</v>
      </c>
      <c r="AU53" s="581">
        <v>195000</v>
      </c>
      <c r="AV53" s="594">
        <v>96000</v>
      </c>
      <c r="AW53" s="594">
        <v>16000</v>
      </c>
      <c r="AX53" s="594">
        <v>0</v>
      </c>
      <c r="AY53" s="581">
        <v>112000</v>
      </c>
      <c r="AZ53" s="594">
        <v>16000</v>
      </c>
      <c r="BA53" s="594">
        <v>10000</v>
      </c>
      <c r="BB53" s="581">
        <v>26000</v>
      </c>
      <c r="BC53" s="597">
        <f>Table35[[#This Row],[Total Expenditure]]/Table35[[#This Row],[Number of pupils (FTE)]]</f>
        <v>7153.8461538461543</v>
      </c>
      <c r="BD53" s="598">
        <f>Table35[[#This Row],[Total Staff Costs]]/Table35[[#This Row],[Number of pupils (FTE)]]</f>
        <v>5705.1282051282051</v>
      </c>
      <c r="BE53" s="598">
        <f>Table35[[#This Row],[Teaching staff]]/Table35[[#This Row],[Number of teachers in academy (FTE)]]</f>
        <v>0</v>
      </c>
      <c r="BF53" s="599">
        <f>Table35[[#This Row],[Number of pupils (FTE)]]/Table35[[#This Row],[Number of teachers in academy (FTE)]]</f>
        <v>31.388329979879277</v>
      </c>
      <c r="BG53" s="600">
        <f t="shared" si="0"/>
        <v>1089.7435897435898</v>
      </c>
      <c r="BH53" s="598">
        <f>Table35[[#This Row],[Premises Costs]]/Table35[[#This Row],[Number of pupils (FTE)]]</f>
        <v>333.33333333333331</v>
      </c>
      <c r="BI53" s="598">
        <f>Table35[[#This Row],[Maintenance &amp; Improvement Costs]]/Table35[[#This Row],[Number of pupils (FTE)]]</f>
        <v>83.333333333333329</v>
      </c>
      <c r="BJ53" s="598" t="e">
        <f>#REF!/E53</f>
        <v>#REF!</v>
      </c>
      <c r="BK53" s="598">
        <f t="shared" si="1"/>
        <v>35.256410256410255</v>
      </c>
      <c r="BL53" s="598">
        <f t="shared" si="2"/>
        <v>16.025641025641026</v>
      </c>
      <c r="BM53" s="598">
        <f t="shared" si="3"/>
        <v>128.2051282051282</v>
      </c>
      <c r="BN53" s="598">
        <f t="shared" si="4"/>
        <v>307.69230769230768</v>
      </c>
      <c r="BO53" s="598">
        <f t="shared" si="5"/>
        <v>51.282051282051285</v>
      </c>
      <c r="BP53" s="598">
        <f t="shared" si="6"/>
        <v>182.69230769230768</v>
      </c>
      <c r="BQ53" s="598">
        <f t="shared" si="7"/>
        <v>625</v>
      </c>
      <c r="BR53" s="598">
        <f t="shared" si="8"/>
        <v>358.97435897435895</v>
      </c>
      <c r="BS53" s="598">
        <f t="shared" si="9"/>
        <v>83.333333333333329</v>
      </c>
    </row>
    <row r="54" spans="1:71" ht="29" hidden="1" x14ac:dyDescent="0.35">
      <c r="A54" s="580">
        <v>925</v>
      </c>
      <c r="B54" s="580" t="s">
        <v>489</v>
      </c>
      <c r="C54" s="593" t="s">
        <v>566</v>
      </c>
      <c r="D54" s="593" t="s">
        <v>552</v>
      </c>
      <c r="E54" s="580">
        <v>442</v>
      </c>
      <c r="F54" s="580">
        <v>16.600000000000001</v>
      </c>
      <c r="G54" s="580" t="s">
        <v>500</v>
      </c>
      <c r="H54" s="580">
        <v>25.1</v>
      </c>
      <c r="I54" s="580">
        <v>3.2</v>
      </c>
      <c r="J54" s="580">
        <v>17.399999999999999</v>
      </c>
      <c r="K54" s="580">
        <v>0</v>
      </c>
      <c r="L54" s="581">
        <v>2627000</v>
      </c>
      <c r="M54" s="581">
        <v>2477000</v>
      </c>
      <c r="N54" s="582">
        <f>Table35[[#This Row],[Total Income]]-Table35[[#This Row],[Total Expenditure]]</f>
        <v>150000</v>
      </c>
      <c r="O54" s="581">
        <v>229000</v>
      </c>
      <c r="Z54" s="581">
        <v>1969000</v>
      </c>
      <c r="AA54" s="595">
        <f>M54-Z54-Table35[[#This Row],[Maintenance &amp; Improvement]]-Table35[[#This Row],[Cleaning &amp; Caretaking]]-Table35[[#This Row],[Catering Supply]]</f>
        <v>393000</v>
      </c>
      <c r="AB54" s="581">
        <v>22000</v>
      </c>
      <c r="AC54" s="594">
        <v>22000</v>
      </c>
      <c r="AD54" s="594">
        <v>11000</v>
      </c>
      <c r="AE54" s="594">
        <v>45000</v>
      </c>
      <c r="AF54" s="594">
        <v>0</v>
      </c>
      <c r="AG54" s="581">
        <v>78000</v>
      </c>
      <c r="AH54" s="581">
        <v>152000</v>
      </c>
      <c r="AI54" s="596">
        <v>70000</v>
      </c>
      <c r="AJ54" s="594">
        <v>82000</v>
      </c>
      <c r="AK54" s="594">
        <v>8000</v>
      </c>
      <c r="AL54" s="594">
        <v>11000</v>
      </c>
      <c r="AM54" s="594">
        <v>60000</v>
      </c>
      <c r="AN54" s="594">
        <v>0</v>
      </c>
      <c r="AO54" s="594">
        <v>18000</v>
      </c>
      <c r="AP54" s="581">
        <v>249000</v>
      </c>
      <c r="AQ54" s="594">
        <v>44000</v>
      </c>
      <c r="AR54" s="594">
        <v>4000</v>
      </c>
      <c r="AS54" s="594">
        <v>0</v>
      </c>
      <c r="AT54" s="594">
        <v>99000</v>
      </c>
      <c r="AU54" s="581">
        <v>181000</v>
      </c>
      <c r="AV54" s="594">
        <v>44000</v>
      </c>
      <c r="AW54" s="594">
        <v>4000</v>
      </c>
      <c r="AX54" s="594">
        <v>0</v>
      </c>
      <c r="AY54" s="581">
        <v>48000</v>
      </c>
      <c r="AZ54" s="594">
        <v>32000</v>
      </c>
      <c r="BA54" s="594">
        <v>2000</v>
      </c>
      <c r="BB54" s="581">
        <v>34000</v>
      </c>
      <c r="BC54" s="597">
        <f>Table35[[#This Row],[Total Expenditure]]/Table35[[#This Row],[Number of pupils (FTE)]]</f>
        <v>5604.0723981900455</v>
      </c>
      <c r="BD54" s="598">
        <f>Table35[[#This Row],[Total Staff Costs]]/Table35[[#This Row],[Number of pupils (FTE)]]</f>
        <v>4454.7511312217193</v>
      </c>
      <c r="BE54" s="598">
        <f>Table35[[#This Row],[Teaching staff]]/Table35[[#This Row],[Number of teachers in academy (FTE)]]</f>
        <v>0</v>
      </c>
      <c r="BF54" s="599">
        <f>Table35[[#This Row],[Number of pupils (FTE)]]/Table35[[#This Row],[Number of teachers in academy (FTE)]]</f>
        <v>26.626506024096383</v>
      </c>
      <c r="BG54" s="600">
        <f t="shared" si="0"/>
        <v>889.14027149321271</v>
      </c>
      <c r="BH54" s="598">
        <f>Table35[[#This Row],[Premises Costs]]/Table35[[#This Row],[Number of pupils (FTE)]]</f>
        <v>176.47058823529412</v>
      </c>
      <c r="BI54" s="598">
        <f>Table35[[#This Row],[Maintenance &amp; Improvement Costs]]/Table35[[#This Row],[Number of pupils (FTE)]]</f>
        <v>49.773755656108598</v>
      </c>
      <c r="BJ54" s="598" t="e">
        <f>#REF!/E54</f>
        <v>#REF!</v>
      </c>
      <c r="BK54" s="598">
        <f t="shared" si="1"/>
        <v>18.099547511312217</v>
      </c>
      <c r="BL54" s="598">
        <f t="shared" si="2"/>
        <v>24.886877828054299</v>
      </c>
      <c r="BM54" s="598">
        <f t="shared" si="3"/>
        <v>135.74660633484163</v>
      </c>
      <c r="BN54" s="598">
        <f t="shared" si="4"/>
        <v>99.547511312217196</v>
      </c>
      <c r="BO54" s="598">
        <f t="shared" si="5"/>
        <v>9.0497737556561084</v>
      </c>
      <c r="BP54" s="598">
        <f t="shared" si="6"/>
        <v>223.98190045248867</v>
      </c>
      <c r="BQ54" s="598">
        <f t="shared" si="7"/>
        <v>409.50226244343889</v>
      </c>
      <c r="BR54" s="598">
        <f t="shared" si="8"/>
        <v>108.5972850678733</v>
      </c>
      <c r="BS54" s="598">
        <f t="shared" si="9"/>
        <v>76.92307692307692</v>
      </c>
    </row>
    <row r="55" spans="1:71" ht="43.5" hidden="1" x14ac:dyDescent="0.35">
      <c r="A55" s="580">
        <v>925</v>
      </c>
      <c r="B55" s="580" t="s">
        <v>489</v>
      </c>
      <c r="C55" s="593" t="s">
        <v>567</v>
      </c>
      <c r="D55" s="593" t="s">
        <v>568</v>
      </c>
      <c r="E55" s="580">
        <v>205</v>
      </c>
      <c r="F55" s="580">
        <v>11.58</v>
      </c>
      <c r="G55" s="580" t="s">
        <v>500</v>
      </c>
      <c r="H55" s="580">
        <v>67.599999999999994</v>
      </c>
      <c r="I55" s="580">
        <v>4.3</v>
      </c>
      <c r="J55" s="580">
        <v>15.9</v>
      </c>
      <c r="K55" s="580">
        <v>0</v>
      </c>
      <c r="L55" s="581">
        <v>1861000</v>
      </c>
      <c r="M55" s="581">
        <v>1962000</v>
      </c>
      <c r="N55" s="582">
        <f>Table35[[#This Row],[Total Income]]-Table35[[#This Row],[Total Expenditure]]</f>
        <v>-101000</v>
      </c>
      <c r="O55" s="581">
        <v>652000</v>
      </c>
      <c r="Z55" s="581">
        <v>1468000</v>
      </c>
      <c r="AA55" s="595">
        <f>M55-Z55-Table35[[#This Row],[Maintenance &amp; Improvement]]-Table35[[#This Row],[Cleaning &amp; Caretaking]]-Table35[[#This Row],[Catering Supply]]</f>
        <v>272000</v>
      </c>
      <c r="AB55" s="581">
        <v>117000</v>
      </c>
      <c r="AC55" s="594">
        <v>117000</v>
      </c>
      <c r="AD55" s="594">
        <v>2000</v>
      </c>
      <c r="AE55" s="594">
        <v>88000</v>
      </c>
      <c r="AF55" s="594">
        <v>0</v>
      </c>
      <c r="AG55" s="581">
        <v>207000</v>
      </c>
      <c r="AH55" s="581">
        <v>103000</v>
      </c>
      <c r="AI55" s="596">
        <v>0</v>
      </c>
      <c r="AJ55" s="594">
        <v>103000</v>
      </c>
      <c r="AK55" s="594">
        <v>0</v>
      </c>
      <c r="AL55" s="594">
        <v>15000</v>
      </c>
      <c r="AM55" s="594">
        <v>46000</v>
      </c>
      <c r="AN55" s="594">
        <v>6000</v>
      </c>
      <c r="AO55" s="594">
        <v>17000</v>
      </c>
      <c r="AP55" s="581">
        <v>187000</v>
      </c>
      <c r="AQ55" s="594">
        <v>32000</v>
      </c>
      <c r="AR55" s="594">
        <v>2000</v>
      </c>
      <c r="AS55" s="594">
        <v>0</v>
      </c>
      <c r="AT55" s="594">
        <v>28000</v>
      </c>
      <c r="AU55" s="581">
        <v>100000</v>
      </c>
      <c r="AV55" s="594">
        <v>32000</v>
      </c>
      <c r="AW55" s="594">
        <v>2000</v>
      </c>
      <c r="AX55" s="594">
        <v>0</v>
      </c>
      <c r="AY55" s="581">
        <v>34000</v>
      </c>
      <c r="AZ55" s="594">
        <v>13000</v>
      </c>
      <c r="BA55" s="594">
        <v>25000</v>
      </c>
      <c r="BB55" s="581">
        <v>38000</v>
      </c>
      <c r="BC55" s="597">
        <f>Table35[[#This Row],[Total Expenditure]]/Table35[[#This Row],[Number of pupils (FTE)]]</f>
        <v>9570.7317073170725</v>
      </c>
      <c r="BD55" s="598">
        <f>Table35[[#This Row],[Total Staff Costs]]/Table35[[#This Row],[Number of pupils (FTE)]]</f>
        <v>7160.9756097560976</v>
      </c>
      <c r="BE55" s="598">
        <f>Table35[[#This Row],[Teaching staff]]/Table35[[#This Row],[Number of teachers in academy (FTE)]]</f>
        <v>0</v>
      </c>
      <c r="BF55" s="599">
        <f>Table35[[#This Row],[Number of pupils (FTE)]]/Table35[[#This Row],[Number of teachers in academy (FTE)]]</f>
        <v>17.702936096718481</v>
      </c>
      <c r="BG55" s="600">
        <f t="shared" si="0"/>
        <v>1326.8292682926829</v>
      </c>
      <c r="BH55" s="598">
        <f>Table35[[#This Row],[Premises Costs]]/Table35[[#This Row],[Number of pupils (FTE)]]</f>
        <v>1009.7560975609756</v>
      </c>
      <c r="BI55" s="598">
        <f>Table35[[#This Row],[Maintenance &amp; Improvement Costs]]/Table35[[#This Row],[Number of pupils (FTE)]]</f>
        <v>570.73170731707319</v>
      </c>
      <c r="BJ55" s="598" t="e">
        <f>#REF!/E55</f>
        <v>#REF!</v>
      </c>
      <c r="BK55" s="598">
        <f t="shared" si="1"/>
        <v>0</v>
      </c>
      <c r="BL55" s="598">
        <f t="shared" si="2"/>
        <v>73.170731707317074</v>
      </c>
      <c r="BM55" s="598">
        <f t="shared" si="3"/>
        <v>224.39024390243901</v>
      </c>
      <c r="BN55" s="598">
        <f t="shared" si="4"/>
        <v>156.09756097560975</v>
      </c>
      <c r="BO55" s="598">
        <f t="shared" si="5"/>
        <v>9.7560975609756095</v>
      </c>
      <c r="BP55" s="598">
        <f t="shared" si="6"/>
        <v>136.58536585365854</v>
      </c>
      <c r="BQ55" s="598">
        <f t="shared" si="7"/>
        <v>487.80487804878049</v>
      </c>
      <c r="BR55" s="598">
        <f t="shared" si="8"/>
        <v>165.85365853658536</v>
      </c>
      <c r="BS55" s="598">
        <f t="shared" si="9"/>
        <v>185.36585365853659</v>
      </c>
    </row>
    <row r="56" spans="1:71" ht="29" hidden="1" x14ac:dyDescent="0.35">
      <c r="A56" s="580">
        <v>925</v>
      </c>
      <c r="B56" s="580" t="s">
        <v>489</v>
      </c>
      <c r="C56" s="593" t="s">
        <v>569</v>
      </c>
      <c r="D56" s="593" t="s">
        <v>528</v>
      </c>
      <c r="E56" s="580">
        <v>414</v>
      </c>
      <c r="F56" s="580" t="s">
        <v>539</v>
      </c>
      <c r="G56" s="580" t="s">
        <v>500</v>
      </c>
      <c r="H56" s="580" t="s">
        <v>539</v>
      </c>
      <c r="I56" s="580">
        <v>0</v>
      </c>
      <c r="J56" s="580">
        <v>0</v>
      </c>
      <c r="K56" s="580" t="s">
        <v>539</v>
      </c>
      <c r="L56" s="581">
        <v>1309000</v>
      </c>
      <c r="M56" s="581">
        <v>1285000</v>
      </c>
      <c r="N56" s="582">
        <f>Table35[[#This Row],[Total Income]]-Table35[[#This Row],[Total Expenditure]]</f>
        <v>24000</v>
      </c>
      <c r="O56" s="581">
        <v>24000</v>
      </c>
      <c r="Z56" s="581">
        <v>1017000</v>
      </c>
      <c r="AA56" s="595">
        <f>M56-Z56-Table35[[#This Row],[Maintenance &amp; Improvement]]-Table35[[#This Row],[Cleaning &amp; Caretaking]]-Table35[[#This Row],[Catering Supply]]</f>
        <v>187000</v>
      </c>
      <c r="AB56" s="581">
        <v>17000</v>
      </c>
      <c r="AC56" s="594">
        <v>17000</v>
      </c>
      <c r="AD56" s="594">
        <v>8000</v>
      </c>
      <c r="AE56" s="594">
        <v>50000</v>
      </c>
      <c r="AF56" s="594">
        <v>0</v>
      </c>
      <c r="AG56" s="581">
        <v>75000</v>
      </c>
      <c r="AH56" s="581">
        <v>56000</v>
      </c>
      <c r="AI56" s="596">
        <v>0</v>
      </c>
      <c r="AJ56" s="594">
        <v>56000</v>
      </c>
      <c r="AK56" s="594">
        <v>4000</v>
      </c>
      <c r="AL56" s="594">
        <v>9000</v>
      </c>
      <c r="AM56" s="594">
        <v>13000</v>
      </c>
      <c r="AN56" s="594">
        <v>6000</v>
      </c>
      <c r="AO56" s="594">
        <v>3000</v>
      </c>
      <c r="AP56" s="581">
        <v>91000</v>
      </c>
      <c r="AQ56" s="594">
        <v>45000</v>
      </c>
      <c r="AR56" s="594">
        <v>7000</v>
      </c>
      <c r="AS56" s="594">
        <v>0</v>
      </c>
      <c r="AT56" s="594">
        <v>30000</v>
      </c>
      <c r="AU56" s="581">
        <v>102000</v>
      </c>
      <c r="AV56" s="594">
        <v>45000</v>
      </c>
      <c r="AW56" s="594">
        <v>7000</v>
      </c>
      <c r="AX56" s="594">
        <v>0</v>
      </c>
      <c r="AY56" s="581">
        <v>52000</v>
      </c>
      <c r="AZ56" s="594">
        <v>6000</v>
      </c>
      <c r="BA56" s="594">
        <v>14000</v>
      </c>
      <c r="BB56" s="581">
        <v>20000</v>
      </c>
      <c r="BC56" s="597">
        <f>Table35[[#This Row],[Total Expenditure]]/Table35[[#This Row],[Number of pupils (FTE)]]</f>
        <v>3103.8647342995168</v>
      </c>
      <c r="BD56" s="598">
        <f>Table35[[#This Row],[Total Staff Costs]]/Table35[[#This Row],[Number of pupils (FTE)]]</f>
        <v>2456.521739130435</v>
      </c>
      <c r="BE56" s="598" t="e">
        <f>Table35[[#This Row],[Teaching staff]]/Table35[[#This Row],[Number of teachers in academy (FTE)]]</f>
        <v>#VALUE!</v>
      </c>
      <c r="BF56" s="599" t="e">
        <f>Table35[[#This Row],[Number of pupils (FTE)]]/Table35[[#This Row],[Number of teachers in academy (FTE)]]</f>
        <v>#VALUE!</v>
      </c>
      <c r="BG56" s="600">
        <f t="shared" si="0"/>
        <v>451.69082125603865</v>
      </c>
      <c r="BH56" s="598">
        <f>Table35[[#This Row],[Premises Costs]]/Table35[[#This Row],[Number of pupils (FTE)]]</f>
        <v>181.15942028985506</v>
      </c>
      <c r="BI56" s="598">
        <f>Table35[[#This Row],[Maintenance &amp; Improvement Costs]]/Table35[[#This Row],[Number of pupils (FTE)]]</f>
        <v>41.062801932367151</v>
      </c>
      <c r="BJ56" s="598" t="e">
        <f>#REF!/E56</f>
        <v>#REF!</v>
      </c>
      <c r="BK56" s="598">
        <f t="shared" si="1"/>
        <v>9.6618357487922708</v>
      </c>
      <c r="BL56" s="598">
        <f t="shared" si="2"/>
        <v>21.739130434782609</v>
      </c>
      <c r="BM56" s="598">
        <f t="shared" si="3"/>
        <v>31.40096618357488</v>
      </c>
      <c r="BN56" s="598">
        <f t="shared" si="4"/>
        <v>108.69565217391305</v>
      </c>
      <c r="BO56" s="598">
        <f t="shared" si="5"/>
        <v>16.908212560386474</v>
      </c>
      <c r="BP56" s="598">
        <f t="shared" si="6"/>
        <v>72.463768115942031</v>
      </c>
      <c r="BQ56" s="598">
        <f t="shared" si="7"/>
        <v>246.37681159420291</v>
      </c>
      <c r="BR56" s="598">
        <f t="shared" si="8"/>
        <v>125.60386473429952</v>
      </c>
      <c r="BS56" s="598">
        <f t="shared" si="9"/>
        <v>48.309178743961354</v>
      </c>
    </row>
    <row r="57" spans="1:71" ht="29" hidden="1" x14ac:dyDescent="0.35">
      <c r="A57" s="580">
        <v>925</v>
      </c>
      <c r="B57" s="580" t="s">
        <v>489</v>
      </c>
      <c r="C57" s="593" t="s">
        <v>570</v>
      </c>
      <c r="D57" s="593" t="s">
        <v>552</v>
      </c>
      <c r="E57" s="580">
        <v>100</v>
      </c>
      <c r="F57" s="580">
        <v>5.38</v>
      </c>
      <c r="G57" s="580" t="s">
        <v>500</v>
      </c>
      <c r="H57" s="580">
        <v>26</v>
      </c>
      <c r="I57" s="580">
        <v>3</v>
      </c>
      <c r="J57" s="580">
        <v>25</v>
      </c>
      <c r="K57" s="580">
        <v>0</v>
      </c>
      <c r="L57" s="581">
        <v>697000</v>
      </c>
      <c r="M57" s="581">
        <v>672000</v>
      </c>
      <c r="N57" s="582">
        <f>Table35[[#This Row],[Total Income]]-Table35[[#This Row],[Total Expenditure]]</f>
        <v>25000</v>
      </c>
      <c r="O57" s="581">
        <v>-72000</v>
      </c>
      <c r="Z57" s="581">
        <v>553000</v>
      </c>
      <c r="AA57" s="595">
        <f>M57-Z57-Table35[[#This Row],[Maintenance &amp; Improvement]]-Table35[[#This Row],[Cleaning &amp; Caretaking]]-Table35[[#This Row],[Catering Supply]]</f>
        <v>102000</v>
      </c>
      <c r="AB57" s="581">
        <v>14000</v>
      </c>
      <c r="AC57" s="594">
        <v>14000</v>
      </c>
      <c r="AD57" s="594">
        <v>3000</v>
      </c>
      <c r="AE57" s="594">
        <v>11000</v>
      </c>
      <c r="AF57" s="594">
        <v>0</v>
      </c>
      <c r="AG57" s="581">
        <v>28000</v>
      </c>
      <c r="AH57" s="581">
        <v>0</v>
      </c>
      <c r="AI57" s="596">
        <v>0</v>
      </c>
      <c r="AJ57" s="594">
        <v>0</v>
      </c>
      <c r="AK57" s="594">
        <v>0</v>
      </c>
      <c r="AL57" s="594">
        <v>2000</v>
      </c>
      <c r="AM57" s="594">
        <v>16000</v>
      </c>
      <c r="AN57" s="594">
        <v>0</v>
      </c>
      <c r="AO57" s="594">
        <v>6000</v>
      </c>
      <c r="AP57" s="581">
        <v>24000</v>
      </c>
      <c r="AQ57" s="594">
        <v>16000</v>
      </c>
      <c r="AR57" s="594">
        <v>1000</v>
      </c>
      <c r="AS57" s="594">
        <v>0</v>
      </c>
      <c r="AT57" s="594">
        <v>35000</v>
      </c>
      <c r="AU57" s="581">
        <v>67000</v>
      </c>
      <c r="AV57" s="594">
        <v>16000</v>
      </c>
      <c r="AW57" s="594">
        <v>1000</v>
      </c>
      <c r="AX57" s="594">
        <v>0</v>
      </c>
      <c r="AY57" s="581">
        <v>17000</v>
      </c>
      <c r="AZ57" s="594">
        <v>14000</v>
      </c>
      <c r="BA57" s="594">
        <v>1000</v>
      </c>
      <c r="BB57" s="581">
        <v>15000</v>
      </c>
      <c r="BC57" s="597">
        <f>Table35[[#This Row],[Total Expenditure]]/Table35[[#This Row],[Number of pupils (FTE)]]</f>
        <v>6720</v>
      </c>
      <c r="BD57" s="598">
        <f>Table35[[#This Row],[Total Staff Costs]]/Table35[[#This Row],[Number of pupils (FTE)]]</f>
        <v>5530</v>
      </c>
      <c r="BE57" s="598">
        <f>Table35[[#This Row],[Teaching staff]]/Table35[[#This Row],[Number of teachers in academy (FTE)]]</f>
        <v>0</v>
      </c>
      <c r="BF57" s="599">
        <f>Table35[[#This Row],[Number of pupils (FTE)]]/Table35[[#This Row],[Number of teachers in academy (FTE)]]</f>
        <v>18.587360594795541</v>
      </c>
      <c r="BG57" s="600">
        <f t="shared" si="0"/>
        <v>1020</v>
      </c>
      <c r="BH57" s="598">
        <f>Table35[[#This Row],[Premises Costs]]/Table35[[#This Row],[Number of pupils (FTE)]]</f>
        <v>280</v>
      </c>
      <c r="BI57" s="598">
        <f>Table35[[#This Row],[Maintenance &amp; Improvement Costs]]/Table35[[#This Row],[Number of pupils (FTE)]]</f>
        <v>140</v>
      </c>
      <c r="BJ57" s="598" t="e">
        <f>#REF!/E57</f>
        <v>#REF!</v>
      </c>
      <c r="BK57" s="598">
        <f t="shared" si="1"/>
        <v>0</v>
      </c>
      <c r="BL57" s="598">
        <f t="shared" si="2"/>
        <v>20</v>
      </c>
      <c r="BM57" s="598">
        <f t="shared" si="3"/>
        <v>160</v>
      </c>
      <c r="BN57" s="598">
        <f t="shared" si="4"/>
        <v>160</v>
      </c>
      <c r="BO57" s="598">
        <f t="shared" si="5"/>
        <v>10</v>
      </c>
      <c r="BP57" s="598">
        <f t="shared" si="6"/>
        <v>350</v>
      </c>
      <c r="BQ57" s="598">
        <f t="shared" si="7"/>
        <v>670</v>
      </c>
      <c r="BR57" s="598">
        <f t="shared" si="8"/>
        <v>170</v>
      </c>
      <c r="BS57" s="598">
        <f t="shared" si="9"/>
        <v>150</v>
      </c>
    </row>
    <row r="58" spans="1:71" ht="29" hidden="1" x14ac:dyDescent="0.35">
      <c r="A58" s="580">
        <v>925</v>
      </c>
      <c r="B58" s="580" t="s">
        <v>489</v>
      </c>
      <c r="C58" s="593" t="s">
        <v>564</v>
      </c>
      <c r="D58" s="593" t="s">
        <v>508</v>
      </c>
      <c r="E58" s="580">
        <v>60</v>
      </c>
      <c r="F58" s="580" t="s">
        <v>539</v>
      </c>
      <c r="G58" s="580" t="s">
        <v>500</v>
      </c>
      <c r="H58" s="580" t="s">
        <v>539</v>
      </c>
      <c r="I58" s="580">
        <v>0</v>
      </c>
      <c r="J58" s="580">
        <v>0</v>
      </c>
      <c r="K58" s="580" t="s">
        <v>539</v>
      </c>
      <c r="L58" s="581">
        <v>148000</v>
      </c>
      <c r="M58" s="581">
        <v>93000</v>
      </c>
      <c r="N58" s="582">
        <f>Table35[[#This Row],[Total Income]]-Table35[[#This Row],[Total Expenditure]]</f>
        <v>55000</v>
      </c>
      <c r="O58" s="581">
        <v>73000</v>
      </c>
      <c r="Z58" s="581">
        <v>19000</v>
      </c>
      <c r="AA58" s="595">
        <f>M58-Z58-Table35[[#This Row],[Maintenance &amp; Improvement]]-Table35[[#This Row],[Cleaning &amp; Caretaking]]-Table35[[#This Row],[Catering Supply]]</f>
        <v>63000</v>
      </c>
      <c r="AB58" s="581">
        <v>11000</v>
      </c>
      <c r="AC58" s="594">
        <v>11000</v>
      </c>
      <c r="AD58" s="594">
        <v>0</v>
      </c>
      <c r="AE58" s="594">
        <v>3000</v>
      </c>
      <c r="AF58" s="594">
        <v>0</v>
      </c>
      <c r="AG58" s="581">
        <v>14000</v>
      </c>
      <c r="AH58" s="581">
        <v>0</v>
      </c>
      <c r="AI58" s="596">
        <v>0</v>
      </c>
      <c r="AJ58" s="594">
        <v>0</v>
      </c>
      <c r="AK58" s="594">
        <v>0</v>
      </c>
      <c r="AL58" s="594">
        <v>0</v>
      </c>
      <c r="AM58" s="594">
        <v>0</v>
      </c>
      <c r="AN58" s="594">
        <v>0</v>
      </c>
      <c r="AO58" s="594">
        <v>18000</v>
      </c>
      <c r="AP58" s="581">
        <v>18000</v>
      </c>
      <c r="AQ58" s="594">
        <v>0</v>
      </c>
      <c r="AR58" s="594">
        <v>24000</v>
      </c>
      <c r="AS58" s="594">
        <v>0</v>
      </c>
      <c r="AT58" s="594">
        <v>5000</v>
      </c>
      <c r="AU58" s="581">
        <v>42000</v>
      </c>
      <c r="AV58" s="594">
        <v>0</v>
      </c>
      <c r="AW58" s="594">
        <v>24000</v>
      </c>
      <c r="AX58" s="594">
        <v>0</v>
      </c>
      <c r="AY58" s="581">
        <v>24000</v>
      </c>
      <c r="AZ58" s="594">
        <v>0</v>
      </c>
      <c r="BA58" s="594">
        <v>13000</v>
      </c>
      <c r="BB58" s="581">
        <v>13000</v>
      </c>
      <c r="BC58" s="597">
        <f>Table35[[#This Row],[Total Expenditure]]/Table35[[#This Row],[Number of pupils (FTE)]]</f>
        <v>1550</v>
      </c>
      <c r="BD58" s="598">
        <f>Table35[[#This Row],[Total Staff Costs]]/Table35[[#This Row],[Number of pupils (FTE)]]</f>
        <v>316.66666666666669</v>
      </c>
      <c r="BE58" s="598" t="e">
        <f>Table35[[#This Row],[Teaching staff]]/Table35[[#This Row],[Number of teachers in academy (FTE)]]</f>
        <v>#VALUE!</v>
      </c>
      <c r="BF58" s="599" t="e">
        <f>Table35[[#This Row],[Number of pupils (FTE)]]/Table35[[#This Row],[Number of teachers in academy (FTE)]]</f>
        <v>#VALUE!</v>
      </c>
      <c r="BG58" s="600">
        <f t="shared" si="0"/>
        <v>1050</v>
      </c>
      <c r="BH58" s="598">
        <f>Table35[[#This Row],[Premises Costs]]/Table35[[#This Row],[Number of pupils (FTE)]]</f>
        <v>233.33333333333334</v>
      </c>
      <c r="BI58" s="598">
        <f>Table35[[#This Row],[Maintenance &amp; Improvement Costs]]/Table35[[#This Row],[Number of pupils (FTE)]]</f>
        <v>183.33333333333334</v>
      </c>
      <c r="BJ58" s="598" t="e">
        <f>#REF!/E58</f>
        <v>#REF!</v>
      </c>
      <c r="BK58" s="598">
        <f t="shared" si="1"/>
        <v>0</v>
      </c>
      <c r="BL58" s="598">
        <f t="shared" si="2"/>
        <v>0</v>
      </c>
      <c r="BM58" s="598">
        <f t="shared" si="3"/>
        <v>0</v>
      </c>
      <c r="BN58" s="598">
        <f t="shared" si="4"/>
        <v>0</v>
      </c>
      <c r="BO58" s="598">
        <f t="shared" si="5"/>
        <v>400</v>
      </c>
      <c r="BP58" s="598">
        <f t="shared" si="6"/>
        <v>83.333333333333329</v>
      </c>
      <c r="BQ58" s="598">
        <f t="shared" si="7"/>
        <v>700</v>
      </c>
      <c r="BR58" s="598">
        <f t="shared" si="8"/>
        <v>400</v>
      </c>
      <c r="BS58" s="598">
        <f t="shared" si="9"/>
        <v>216.66666666666666</v>
      </c>
    </row>
    <row r="59" spans="1:71" ht="29" hidden="1" x14ac:dyDescent="0.35">
      <c r="A59" s="580">
        <v>925</v>
      </c>
      <c r="B59" s="580" t="s">
        <v>489</v>
      </c>
      <c r="C59" s="593" t="s">
        <v>571</v>
      </c>
      <c r="D59" s="593" t="s">
        <v>538</v>
      </c>
      <c r="E59" s="580">
        <v>449</v>
      </c>
      <c r="F59" s="580" t="s">
        <v>539</v>
      </c>
      <c r="G59" s="580" t="s">
        <v>500</v>
      </c>
      <c r="H59" s="580">
        <v>16</v>
      </c>
      <c r="I59" s="580">
        <v>2.6</v>
      </c>
      <c r="J59" s="580">
        <v>9.4</v>
      </c>
      <c r="K59" s="580">
        <v>0</v>
      </c>
      <c r="L59" s="581">
        <v>1791000</v>
      </c>
      <c r="M59" s="581">
        <v>1819000</v>
      </c>
      <c r="N59" s="582">
        <f>Table35[[#This Row],[Total Income]]-Table35[[#This Row],[Total Expenditure]]</f>
        <v>-28000</v>
      </c>
      <c r="O59" s="581">
        <v>221000</v>
      </c>
      <c r="Z59" s="581">
        <v>1509000</v>
      </c>
      <c r="AA59" s="595">
        <f>M59-Z59-Table35[[#This Row],[Maintenance &amp; Improvement]]-Table35[[#This Row],[Cleaning &amp; Caretaking]]-Table35[[#This Row],[Catering Supply]]</f>
        <v>210000</v>
      </c>
      <c r="AB59" s="581">
        <v>42000</v>
      </c>
      <c r="AC59" s="594">
        <v>42000</v>
      </c>
      <c r="AD59" s="594">
        <v>5000</v>
      </c>
      <c r="AE59" s="594">
        <v>46000</v>
      </c>
      <c r="AF59" s="594">
        <v>0</v>
      </c>
      <c r="AG59" s="581">
        <v>93000</v>
      </c>
      <c r="AH59" s="581">
        <v>53000</v>
      </c>
      <c r="AI59" s="596">
        <v>0</v>
      </c>
      <c r="AJ59" s="594">
        <v>53000</v>
      </c>
      <c r="AK59" s="594">
        <v>5000</v>
      </c>
      <c r="AL59" s="594">
        <v>6000</v>
      </c>
      <c r="AM59" s="594">
        <v>26000</v>
      </c>
      <c r="AN59" s="594">
        <v>9000</v>
      </c>
      <c r="AO59" s="594">
        <v>6000</v>
      </c>
      <c r="AP59" s="581">
        <v>105000</v>
      </c>
      <c r="AQ59" s="594">
        <v>47000</v>
      </c>
      <c r="AR59" s="594">
        <v>8000</v>
      </c>
      <c r="AS59" s="594">
        <v>0</v>
      </c>
      <c r="AT59" s="594">
        <v>26000</v>
      </c>
      <c r="AU59" s="581">
        <v>112000</v>
      </c>
      <c r="AV59" s="594">
        <v>47000</v>
      </c>
      <c r="AW59" s="594">
        <v>8000</v>
      </c>
      <c r="AX59" s="594">
        <v>0</v>
      </c>
      <c r="AY59" s="581">
        <v>55000</v>
      </c>
      <c r="AZ59" s="594">
        <v>5000</v>
      </c>
      <c r="BA59" s="594">
        <v>26000</v>
      </c>
      <c r="BB59" s="581">
        <v>31000</v>
      </c>
      <c r="BC59" s="597">
        <f>Table35[[#This Row],[Total Expenditure]]/Table35[[#This Row],[Number of pupils (FTE)]]</f>
        <v>4051.2249443207129</v>
      </c>
      <c r="BD59" s="598">
        <f>Table35[[#This Row],[Total Staff Costs]]/Table35[[#This Row],[Number of pupils (FTE)]]</f>
        <v>3360.8017817371938</v>
      </c>
      <c r="BE59" s="598" t="e">
        <f>Table35[[#This Row],[Teaching staff]]/Table35[[#This Row],[Number of teachers in academy (FTE)]]</f>
        <v>#VALUE!</v>
      </c>
      <c r="BF59" s="599" t="e">
        <f>Table35[[#This Row],[Number of pupils (FTE)]]/Table35[[#This Row],[Number of teachers in academy (FTE)]]</f>
        <v>#VALUE!</v>
      </c>
      <c r="BG59" s="600">
        <f t="shared" si="0"/>
        <v>467.70601336302894</v>
      </c>
      <c r="BH59" s="598">
        <f>Table35[[#This Row],[Premises Costs]]/Table35[[#This Row],[Number of pupils (FTE)]]</f>
        <v>207.12694877505567</v>
      </c>
      <c r="BI59" s="598">
        <f>Table35[[#This Row],[Maintenance &amp; Improvement Costs]]/Table35[[#This Row],[Number of pupils (FTE)]]</f>
        <v>93.541202672605792</v>
      </c>
      <c r="BJ59" s="598" t="e">
        <f>#REF!/E59</f>
        <v>#REF!</v>
      </c>
      <c r="BK59" s="598">
        <f t="shared" si="1"/>
        <v>11.135857461024498</v>
      </c>
      <c r="BL59" s="598">
        <f t="shared" si="2"/>
        <v>13.363028953229399</v>
      </c>
      <c r="BM59" s="598">
        <f t="shared" si="3"/>
        <v>57.906458797327396</v>
      </c>
      <c r="BN59" s="598">
        <f t="shared" si="4"/>
        <v>104.67706013363029</v>
      </c>
      <c r="BO59" s="598">
        <f t="shared" si="5"/>
        <v>17.817371937639198</v>
      </c>
      <c r="BP59" s="598">
        <f t="shared" si="6"/>
        <v>57.906458797327396</v>
      </c>
      <c r="BQ59" s="598">
        <f t="shared" si="7"/>
        <v>249.44320712694878</v>
      </c>
      <c r="BR59" s="598">
        <f t="shared" si="8"/>
        <v>122.49443207126949</v>
      </c>
      <c r="BS59" s="598">
        <f t="shared" si="9"/>
        <v>69.042316258351889</v>
      </c>
    </row>
    <row r="60" spans="1:71" hidden="1" x14ac:dyDescent="0.35">
      <c r="A60" s="580">
        <v>925</v>
      </c>
      <c r="B60" s="580" t="s">
        <v>489</v>
      </c>
      <c r="C60" s="593" t="s">
        <v>572</v>
      </c>
      <c r="D60" s="593" t="s">
        <v>506</v>
      </c>
      <c r="E60" s="580">
        <v>417</v>
      </c>
      <c r="F60" s="580">
        <v>22.2</v>
      </c>
      <c r="G60" s="580" t="s">
        <v>500</v>
      </c>
      <c r="H60" s="580">
        <v>20.9</v>
      </c>
      <c r="I60" s="580">
        <v>4.5999999999999996</v>
      </c>
      <c r="J60" s="580">
        <v>7.4</v>
      </c>
      <c r="K60" s="580">
        <v>0</v>
      </c>
      <c r="L60" s="581">
        <v>2561000</v>
      </c>
      <c r="M60" s="581">
        <v>2386000</v>
      </c>
      <c r="N60" s="582">
        <f>Table35[[#This Row],[Total Income]]-Table35[[#This Row],[Total Expenditure]]</f>
        <v>175000</v>
      </c>
      <c r="O60" s="581">
        <v>0</v>
      </c>
      <c r="Z60" s="581">
        <v>1967000</v>
      </c>
      <c r="AA60" s="595">
        <f>M60-Z60-Table35[[#This Row],[Maintenance &amp; Improvement]]-Table35[[#This Row],[Cleaning &amp; Caretaking]]-Table35[[#This Row],[Catering Supply]]</f>
        <v>262000</v>
      </c>
      <c r="AB60" s="581">
        <v>27000</v>
      </c>
      <c r="AC60" s="594">
        <v>27000</v>
      </c>
      <c r="AD60" s="594">
        <v>27000</v>
      </c>
      <c r="AE60" s="594">
        <v>26000</v>
      </c>
      <c r="AF60" s="594">
        <v>0</v>
      </c>
      <c r="AG60" s="581">
        <v>80000</v>
      </c>
      <c r="AH60" s="581">
        <v>103000</v>
      </c>
      <c r="AI60" s="596">
        <v>0</v>
      </c>
      <c r="AJ60" s="594">
        <v>103000</v>
      </c>
      <c r="AK60" s="594">
        <v>6000</v>
      </c>
      <c r="AL60" s="594">
        <v>11000</v>
      </c>
      <c r="AM60" s="594">
        <v>34000</v>
      </c>
      <c r="AN60" s="594">
        <v>10000</v>
      </c>
      <c r="AO60" s="594">
        <v>4000</v>
      </c>
      <c r="AP60" s="581">
        <v>168000</v>
      </c>
      <c r="AQ60" s="594">
        <v>55000</v>
      </c>
      <c r="AR60" s="594">
        <v>0</v>
      </c>
      <c r="AS60" s="594">
        <v>0</v>
      </c>
      <c r="AT60" s="594">
        <v>103000</v>
      </c>
      <c r="AU60" s="581">
        <v>171000</v>
      </c>
      <c r="AV60" s="594">
        <v>55000</v>
      </c>
      <c r="AW60" s="594">
        <v>0</v>
      </c>
      <c r="AX60" s="594">
        <v>0</v>
      </c>
      <c r="AY60" s="581">
        <v>55000</v>
      </c>
      <c r="AZ60" s="594">
        <v>12000</v>
      </c>
      <c r="BA60" s="594">
        <v>1000</v>
      </c>
      <c r="BB60" s="581">
        <v>13000</v>
      </c>
      <c r="BC60" s="597">
        <f>Table35[[#This Row],[Total Expenditure]]/Table35[[#This Row],[Number of pupils (FTE)]]</f>
        <v>5721.8225419664268</v>
      </c>
      <c r="BD60" s="598">
        <f>Table35[[#This Row],[Total Staff Costs]]/Table35[[#This Row],[Number of pupils (FTE)]]</f>
        <v>4717.0263788968823</v>
      </c>
      <c r="BE60" s="598">
        <f>Table35[[#This Row],[Teaching staff]]/Table35[[#This Row],[Number of teachers in academy (FTE)]]</f>
        <v>0</v>
      </c>
      <c r="BF60" s="599">
        <f>Table35[[#This Row],[Number of pupils (FTE)]]/Table35[[#This Row],[Number of teachers in academy (FTE)]]</f>
        <v>18.783783783783786</v>
      </c>
      <c r="BG60" s="600">
        <f t="shared" si="0"/>
        <v>628.29736211031172</v>
      </c>
      <c r="BH60" s="598">
        <f>Table35[[#This Row],[Premises Costs]]/Table35[[#This Row],[Number of pupils (FTE)]]</f>
        <v>191.84652278177458</v>
      </c>
      <c r="BI60" s="598">
        <f>Table35[[#This Row],[Maintenance &amp; Improvement Costs]]/Table35[[#This Row],[Number of pupils (FTE)]]</f>
        <v>64.748201438848923</v>
      </c>
      <c r="BJ60" s="598" t="e">
        <f>#REF!/E60</f>
        <v>#REF!</v>
      </c>
      <c r="BK60" s="598">
        <f t="shared" si="1"/>
        <v>14.388489208633093</v>
      </c>
      <c r="BL60" s="598">
        <f t="shared" si="2"/>
        <v>26.378896882494004</v>
      </c>
      <c r="BM60" s="598">
        <f t="shared" si="3"/>
        <v>81.534772182254201</v>
      </c>
      <c r="BN60" s="598">
        <f t="shared" si="4"/>
        <v>131.89448441247004</v>
      </c>
      <c r="BO60" s="598">
        <f t="shared" si="5"/>
        <v>0</v>
      </c>
      <c r="BP60" s="598">
        <f t="shared" si="6"/>
        <v>247.00239808153478</v>
      </c>
      <c r="BQ60" s="598">
        <f t="shared" si="7"/>
        <v>410.07194244604318</v>
      </c>
      <c r="BR60" s="598">
        <f t="shared" si="8"/>
        <v>131.89448441247004</v>
      </c>
      <c r="BS60" s="598">
        <f t="shared" si="9"/>
        <v>31.175059952038371</v>
      </c>
    </row>
    <row r="61" spans="1:71" ht="43.5" hidden="1" x14ac:dyDescent="0.35">
      <c r="A61" s="580">
        <v>925</v>
      </c>
      <c r="B61" s="580" t="s">
        <v>489</v>
      </c>
      <c r="C61" s="593" t="s">
        <v>573</v>
      </c>
      <c r="D61" s="593" t="s">
        <v>574</v>
      </c>
      <c r="E61" s="580">
        <v>74</v>
      </c>
      <c r="F61" s="580">
        <v>4.7</v>
      </c>
      <c r="G61" s="580" t="s">
        <v>500</v>
      </c>
      <c r="H61" s="580">
        <v>16.7</v>
      </c>
      <c r="I61" s="580">
        <v>3.9</v>
      </c>
      <c r="J61" s="580">
        <v>10.3</v>
      </c>
      <c r="K61" s="580">
        <v>0</v>
      </c>
      <c r="L61" s="581">
        <v>587000</v>
      </c>
      <c r="M61" s="581">
        <v>710000</v>
      </c>
      <c r="N61" s="582">
        <f>Table35[[#This Row],[Total Income]]-Table35[[#This Row],[Total Expenditure]]</f>
        <v>-123000</v>
      </c>
      <c r="O61" s="581">
        <v>-10000</v>
      </c>
      <c r="Z61" s="581">
        <v>492000</v>
      </c>
      <c r="AA61" s="595">
        <f>M61-Z61-Table35[[#This Row],[Maintenance &amp; Improvement]]-Table35[[#This Row],[Cleaning &amp; Caretaking]]-Table35[[#This Row],[Catering Supply]]</f>
        <v>190000</v>
      </c>
      <c r="AB61" s="581">
        <v>2000</v>
      </c>
      <c r="AC61" s="594">
        <v>2000</v>
      </c>
      <c r="AD61" s="594">
        <v>1000</v>
      </c>
      <c r="AE61" s="594">
        <v>23000</v>
      </c>
      <c r="AF61" s="594">
        <v>0</v>
      </c>
      <c r="AG61" s="581">
        <v>26000</v>
      </c>
      <c r="AH61" s="581">
        <v>25000</v>
      </c>
      <c r="AI61" s="596">
        <v>0</v>
      </c>
      <c r="AJ61" s="594">
        <v>25000</v>
      </c>
      <c r="AK61" s="594">
        <v>3000</v>
      </c>
      <c r="AL61" s="594">
        <v>2000</v>
      </c>
      <c r="AM61" s="594">
        <v>8000</v>
      </c>
      <c r="AN61" s="594">
        <v>2000</v>
      </c>
      <c r="AO61" s="594">
        <v>0</v>
      </c>
      <c r="AP61" s="581">
        <v>40000</v>
      </c>
      <c r="AQ61" s="594">
        <v>120000</v>
      </c>
      <c r="AR61" s="594">
        <v>1000</v>
      </c>
      <c r="AS61" s="594">
        <v>0</v>
      </c>
      <c r="AT61" s="594">
        <v>18000</v>
      </c>
      <c r="AU61" s="581">
        <v>152000</v>
      </c>
      <c r="AV61" s="594">
        <v>120000</v>
      </c>
      <c r="AW61" s="594">
        <v>1000</v>
      </c>
      <c r="AX61" s="594">
        <v>0</v>
      </c>
      <c r="AY61" s="581">
        <v>121000</v>
      </c>
      <c r="AZ61" s="594">
        <v>0</v>
      </c>
      <c r="BA61" s="594">
        <v>13000</v>
      </c>
      <c r="BB61" s="581">
        <v>13000</v>
      </c>
      <c r="BC61" s="597">
        <f>Table35[[#This Row],[Total Expenditure]]/Table35[[#This Row],[Number of pupils (FTE)]]</f>
        <v>9594.594594594595</v>
      </c>
      <c r="BD61" s="598">
        <f>Table35[[#This Row],[Total Staff Costs]]/Table35[[#This Row],[Number of pupils (FTE)]]</f>
        <v>6648.6486486486483</v>
      </c>
      <c r="BE61" s="598">
        <f>Table35[[#This Row],[Teaching staff]]/Table35[[#This Row],[Number of teachers in academy (FTE)]]</f>
        <v>0</v>
      </c>
      <c r="BF61" s="599">
        <f>Table35[[#This Row],[Number of pupils (FTE)]]/Table35[[#This Row],[Number of teachers in academy (FTE)]]</f>
        <v>15.74468085106383</v>
      </c>
      <c r="BG61" s="600">
        <f t="shared" si="0"/>
        <v>2567.5675675675675</v>
      </c>
      <c r="BH61" s="598">
        <f>Table35[[#This Row],[Premises Costs]]/Table35[[#This Row],[Number of pupils (FTE)]]</f>
        <v>351.35135135135135</v>
      </c>
      <c r="BI61" s="598">
        <f>Table35[[#This Row],[Maintenance &amp; Improvement Costs]]/Table35[[#This Row],[Number of pupils (FTE)]]</f>
        <v>27.027027027027028</v>
      </c>
      <c r="BJ61" s="598" t="e">
        <f>#REF!/E61</f>
        <v>#REF!</v>
      </c>
      <c r="BK61" s="598">
        <f t="shared" si="1"/>
        <v>40.54054054054054</v>
      </c>
      <c r="BL61" s="598">
        <f t="shared" si="2"/>
        <v>27.027027027027028</v>
      </c>
      <c r="BM61" s="598">
        <f t="shared" si="3"/>
        <v>108.10810810810811</v>
      </c>
      <c r="BN61" s="598">
        <f t="shared" si="4"/>
        <v>1621.6216216216217</v>
      </c>
      <c r="BO61" s="598">
        <f t="shared" si="5"/>
        <v>13.513513513513514</v>
      </c>
      <c r="BP61" s="598">
        <f t="shared" si="6"/>
        <v>243.24324324324326</v>
      </c>
      <c r="BQ61" s="598">
        <f t="shared" si="7"/>
        <v>2054.0540540540542</v>
      </c>
      <c r="BR61" s="598">
        <f t="shared" si="8"/>
        <v>1635.1351351351352</v>
      </c>
      <c r="BS61" s="598">
        <f t="shared" si="9"/>
        <v>175.67567567567568</v>
      </c>
    </row>
    <row r="62" spans="1:71" ht="29" hidden="1" x14ac:dyDescent="0.35">
      <c r="A62" s="580">
        <v>925</v>
      </c>
      <c r="B62" s="580" t="s">
        <v>489</v>
      </c>
      <c r="C62" s="593" t="s">
        <v>575</v>
      </c>
      <c r="D62" s="593" t="s">
        <v>576</v>
      </c>
      <c r="E62" s="580">
        <v>290</v>
      </c>
      <c r="F62" s="580">
        <v>14.9</v>
      </c>
      <c r="G62" s="580" t="s">
        <v>500</v>
      </c>
      <c r="H62" s="580">
        <v>30.3</v>
      </c>
      <c r="I62" s="580">
        <v>3.5</v>
      </c>
      <c r="J62" s="580">
        <v>15.2</v>
      </c>
      <c r="K62" s="580">
        <v>0</v>
      </c>
      <c r="L62" s="581">
        <v>2097000</v>
      </c>
      <c r="M62" s="581">
        <v>1972000</v>
      </c>
      <c r="N62" s="582">
        <f>Table35[[#This Row],[Total Income]]-Table35[[#This Row],[Total Expenditure]]</f>
        <v>125000</v>
      </c>
      <c r="O62" s="581">
        <v>865000</v>
      </c>
      <c r="Z62" s="581">
        <v>1257000</v>
      </c>
      <c r="AA62" s="595">
        <f>M62-Z62-Table35[[#This Row],[Maintenance &amp; Improvement]]-Table35[[#This Row],[Cleaning &amp; Caretaking]]-Table35[[#This Row],[Catering Supply]]</f>
        <v>327000</v>
      </c>
      <c r="AB62" s="581">
        <v>295000</v>
      </c>
      <c r="AC62" s="594">
        <v>295000</v>
      </c>
      <c r="AD62" s="594">
        <v>36000</v>
      </c>
      <c r="AE62" s="594">
        <v>5000</v>
      </c>
      <c r="AF62" s="594">
        <v>0</v>
      </c>
      <c r="AG62" s="581">
        <v>336000</v>
      </c>
      <c r="AH62" s="581">
        <v>73000</v>
      </c>
      <c r="AI62" s="596">
        <v>16000</v>
      </c>
      <c r="AJ62" s="594">
        <v>57000</v>
      </c>
      <c r="AK62" s="594">
        <v>0</v>
      </c>
      <c r="AL62" s="594">
        <v>6000</v>
      </c>
      <c r="AM62" s="594">
        <v>41000</v>
      </c>
      <c r="AN62" s="594">
        <v>16000</v>
      </c>
      <c r="AO62" s="594">
        <v>0</v>
      </c>
      <c r="AP62" s="581">
        <v>136000</v>
      </c>
      <c r="AQ62" s="594">
        <v>71000</v>
      </c>
      <c r="AR62" s="594">
        <v>0</v>
      </c>
      <c r="AS62" s="594">
        <v>0</v>
      </c>
      <c r="AT62" s="594">
        <v>88000</v>
      </c>
      <c r="AU62" s="581">
        <v>243000</v>
      </c>
      <c r="AV62" s="594">
        <v>71000</v>
      </c>
      <c r="AW62" s="594">
        <v>0</v>
      </c>
      <c r="AX62" s="594">
        <v>0</v>
      </c>
      <c r="AY62" s="581">
        <v>71000</v>
      </c>
      <c r="AZ62" s="594">
        <v>49000</v>
      </c>
      <c r="BA62" s="594">
        <v>35000</v>
      </c>
      <c r="BB62" s="581">
        <v>84000</v>
      </c>
      <c r="BC62" s="597">
        <f>Table35[[#This Row],[Total Expenditure]]/Table35[[#This Row],[Number of pupils (FTE)]]</f>
        <v>6800</v>
      </c>
      <c r="BD62" s="598">
        <f>Table35[[#This Row],[Total Staff Costs]]/Table35[[#This Row],[Number of pupils (FTE)]]</f>
        <v>4334.4827586206893</v>
      </c>
      <c r="BE62" s="598">
        <f>Table35[[#This Row],[Teaching staff]]/Table35[[#This Row],[Number of teachers in academy (FTE)]]</f>
        <v>0</v>
      </c>
      <c r="BF62" s="599">
        <f>Table35[[#This Row],[Number of pupils (FTE)]]/Table35[[#This Row],[Number of teachers in academy (FTE)]]</f>
        <v>19.463087248322147</v>
      </c>
      <c r="BG62" s="600">
        <f t="shared" si="0"/>
        <v>1127.5862068965516</v>
      </c>
      <c r="BH62" s="598">
        <f>Table35[[#This Row],[Premises Costs]]/Table35[[#This Row],[Number of pupils (FTE)]]</f>
        <v>1158.6206896551723</v>
      </c>
      <c r="BI62" s="598">
        <f>Table35[[#This Row],[Maintenance &amp; Improvement Costs]]/Table35[[#This Row],[Number of pupils (FTE)]]</f>
        <v>1017.2413793103449</v>
      </c>
      <c r="BJ62" s="598" t="e">
        <f>#REF!/E62</f>
        <v>#REF!</v>
      </c>
      <c r="BK62" s="598">
        <f t="shared" si="1"/>
        <v>0</v>
      </c>
      <c r="BL62" s="598">
        <f t="shared" si="2"/>
        <v>20.689655172413794</v>
      </c>
      <c r="BM62" s="598">
        <f t="shared" si="3"/>
        <v>141.37931034482759</v>
      </c>
      <c r="BN62" s="598">
        <f t="shared" si="4"/>
        <v>244.82758620689654</v>
      </c>
      <c r="BO62" s="598">
        <f t="shared" si="5"/>
        <v>0</v>
      </c>
      <c r="BP62" s="598">
        <f t="shared" si="6"/>
        <v>303.44827586206895</v>
      </c>
      <c r="BQ62" s="598">
        <f t="shared" si="7"/>
        <v>837.93103448275861</v>
      </c>
      <c r="BR62" s="598">
        <f t="shared" si="8"/>
        <v>244.82758620689654</v>
      </c>
      <c r="BS62" s="598">
        <f t="shared" si="9"/>
        <v>289.65517241379308</v>
      </c>
    </row>
    <row r="63" spans="1:71" ht="29" hidden="1" x14ac:dyDescent="0.35">
      <c r="A63" s="580">
        <v>925</v>
      </c>
      <c r="B63" s="580" t="s">
        <v>489</v>
      </c>
      <c r="C63" s="593" t="s">
        <v>577</v>
      </c>
      <c r="D63" s="593" t="s">
        <v>578</v>
      </c>
      <c r="E63" s="580">
        <v>163</v>
      </c>
      <c r="F63" s="580">
        <v>7.89</v>
      </c>
      <c r="G63" s="580" t="s">
        <v>500</v>
      </c>
      <c r="H63" s="580">
        <v>17.2</v>
      </c>
      <c r="I63" s="580">
        <v>4.9000000000000004</v>
      </c>
      <c r="J63" s="580">
        <v>12.3</v>
      </c>
      <c r="K63" s="580">
        <v>0</v>
      </c>
      <c r="L63" s="581">
        <v>1059000</v>
      </c>
      <c r="M63" s="581">
        <v>1016000</v>
      </c>
      <c r="N63" s="582">
        <f>Table35[[#This Row],[Total Income]]-Table35[[#This Row],[Total Expenditure]]</f>
        <v>43000</v>
      </c>
      <c r="O63" s="581">
        <v>154000</v>
      </c>
      <c r="Z63" s="581">
        <v>813000</v>
      </c>
      <c r="AA63" s="595">
        <f>M63-Z63-Table35[[#This Row],[Maintenance &amp; Improvement]]-Table35[[#This Row],[Cleaning &amp; Caretaking]]-Table35[[#This Row],[Catering Supply]]</f>
        <v>158000</v>
      </c>
      <c r="AB63" s="581">
        <v>25000</v>
      </c>
      <c r="AC63" s="594">
        <v>25000</v>
      </c>
      <c r="AD63" s="594">
        <v>20000</v>
      </c>
      <c r="AE63" s="594">
        <v>15000</v>
      </c>
      <c r="AF63" s="594">
        <v>0</v>
      </c>
      <c r="AG63" s="581">
        <v>60000</v>
      </c>
      <c r="AH63" s="581">
        <v>0</v>
      </c>
      <c r="AI63" s="596">
        <v>0</v>
      </c>
      <c r="AJ63" s="594">
        <v>0</v>
      </c>
      <c r="AK63" s="594">
        <v>2000</v>
      </c>
      <c r="AL63" s="594">
        <v>4000</v>
      </c>
      <c r="AM63" s="594">
        <v>10000</v>
      </c>
      <c r="AN63" s="594">
        <v>5000</v>
      </c>
      <c r="AO63" s="594">
        <v>2000</v>
      </c>
      <c r="AP63" s="581">
        <v>23000</v>
      </c>
      <c r="AQ63" s="594">
        <v>47000</v>
      </c>
      <c r="AR63" s="594">
        <v>21000</v>
      </c>
      <c r="AS63" s="594">
        <v>0</v>
      </c>
      <c r="AT63" s="594">
        <v>45000</v>
      </c>
      <c r="AU63" s="581">
        <v>120000</v>
      </c>
      <c r="AV63" s="594">
        <v>47000</v>
      </c>
      <c r="AW63" s="594">
        <v>21000</v>
      </c>
      <c r="AX63" s="594">
        <v>0</v>
      </c>
      <c r="AY63" s="581">
        <v>68000</v>
      </c>
      <c r="AZ63" s="594">
        <v>0</v>
      </c>
      <c r="BA63" s="594">
        <v>7000</v>
      </c>
      <c r="BB63" s="581">
        <v>7000</v>
      </c>
      <c r="BC63" s="597">
        <f>Table35[[#This Row],[Total Expenditure]]/Table35[[#This Row],[Number of pupils (FTE)]]</f>
        <v>6233.1288343558281</v>
      </c>
      <c r="BD63" s="598">
        <f>Table35[[#This Row],[Total Staff Costs]]/Table35[[#This Row],[Number of pupils (FTE)]]</f>
        <v>4987.7300613496936</v>
      </c>
      <c r="BE63" s="598">
        <f>Table35[[#This Row],[Teaching staff]]/Table35[[#This Row],[Number of teachers in academy (FTE)]]</f>
        <v>0</v>
      </c>
      <c r="BF63" s="599">
        <f>Table35[[#This Row],[Number of pupils (FTE)]]/Table35[[#This Row],[Number of teachers in academy (FTE)]]</f>
        <v>20.659062103929024</v>
      </c>
      <c r="BG63" s="600">
        <f t="shared" si="0"/>
        <v>969.32515337423308</v>
      </c>
      <c r="BH63" s="598">
        <f>Table35[[#This Row],[Premises Costs]]/Table35[[#This Row],[Number of pupils (FTE)]]</f>
        <v>368.09815950920245</v>
      </c>
      <c r="BI63" s="598">
        <f>Table35[[#This Row],[Maintenance &amp; Improvement Costs]]/Table35[[#This Row],[Number of pupils (FTE)]]</f>
        <v>153.37423312883436</v>
      </c>
      <c r="BJ63" s="598" t="e">
        <f>#REF!/E63</f>
        <v>#REF!</v>
      </c>
      <c r="BK63" s="598">
        <f t="shared" si="1"/>
        <v>12.269938650306749</v>
      </c>
      <c r="BL63" s="598">
        <f t="shared" si="2"/>
        <v>24.539877300613497</v>
      </c>
      <c r="BM63" s="598">
        <f t="shared" si="3"/>
        <v>61.349693251533743</v>
      </c>
      <c r="BN63" s="598">
        <f t="shared" si="4"/>
        <v>288.34355828220856</v>
      </c>
      <c r="BO63" s="598">
        <f t="shared" si="5"/>
        <v>128.83435582822085</v>
      </c>
      <c r="BP63" s="598">
        <f t="shared" si="6"/>
        <v>276.07361963190186</v>
      </c>
      <c r="BQ63" s="598">
        <f t="shared" si="7"/>
        <v>736.19631901840489</v>
      </c>
      <c r="BR63" s="598">
        <f t="shared" si="8"/>
        <v>417.17791411042947</v>
      </c>
      <c r="BS63" s="598">
        <f t="shared" si="9"/>
        <v>42.944785276073617</v>
      </c>
    </row>
    <row r="64" spans="1:71" ht="29" hidden="1" x14ac:dyDescent="0.35">
      <c r="A64" s="580">
        <v>925</v>
      </c>
      <c r="B64" s="580" t="s">
        <v>489</v>
      </c>
      <c r="C64" s="593" t="s">
        <v>579</v>
      </c>
      <c r="D64" s="593" t="s">
        <v>580</v>
      </c>
      <c r="E64" s="580">
        <v>35</v>
      </c>
      <c r="F64" s="580">
        <v>3.16</v>
      </c>
      <c r="G64" s="580" t="s">
        <v>500</v>
      </c>
      <c r="H64" s="580">
        <v>51.4</v>
      </c>
      <c r="I64" s="580">
        <v>17.100000000000001</v>
      </c>
      <c r="J64" s="580">
        <v>31.4</v>
      </c>
      <c r="K64" s="580">
        <v>0</v>
      </c>
      <c r="L64" s="581">
        <v>503000</v>
      </c>
      <c r="M64" s="581">
        <v>552000</v>
      </c>
      <c r="N64" s="582">
        <f>Table35[[#This Row],[Total Income]]-Table35[[#This Row],[Total Expenditure]]</f>
        <v>-49000</v>
      </c>
      <c r="O64" s="581">
        <v>0</v>
      </c>
      <c r="Z64" s="581">
        <v>475000</v>
      </c>
      <c r="AA64" s="595">
        <f>M64-Z64-Table35[[#This Row],[Maintenance &amp; Improvement]]-Table35[[#This Row],[Cleaning &amp; Caretaking]]-Table35[[#This Row],[Catering Supply]]</f>
        <v>56000</v>
      </c>
      <c r="AB64" s="581">
        <v>5000</v>
      </c>
      <c r="AC64" s="594">
        <v>5000</v>
      </c>
      <c r="AD64" s="594">
        <v>3000</v>
      </c>
      <c r="AE64" s="594">
        <v>0</v>
      </c>
      <c r="AF64" s="594">
        <v>0</v>
      </c>
      <c r="AG64" s="581">
        <v>8000</v>
      </c>
      <c r="AH64" s="581">
        <v>13000</v>
      </c>
      <c r="AI64" s="596">
        <v>0</v>
      </c>
      <c r="AJ64" s="594">
        <v>13000</v>
      </c>
      <c r="AK64" s="594">
        <v>0</v>
      </c>
      <c r="AL64" s="594">
        <v>1000</v>
      </c>
      <c r="AM64" s="594">
        <v>14000</v>
      </c>
      <c r="AN64" s="594">
        <v>0</v>
      </c>
      <c r="AO64" s="594">
        <v>4000</v>
      </c>
      <c r="AP64" s="581">
        <v>32000</v>
      </c>
      <c r="AQ64" s="594">
        <v>25000</v>
      </c>
      <c r="AR64" s="594">
        <v>4000</v>
      </c>
      <c r="AS64" s="594">
        <v>0</v>
      </c>
      <c r="AT64" s="594">
        <v>7000</v>
      </c>
      <c r="AU64" s="581">
        <v>37000</v>
      </c>
      <c r="AV64" s="594">
        <v>25000</v>
      </c>
      <c r="AW64" s="594">
        <v>4000</v>
      </c>
      <c r="AX64" s="594">
        <v>0</v>
      </c>
      <c r="AY64" s="581">
        <v>29000</v>
      </c>
      <c r="AZ64" s="594">
        <v>1000</v>
      </c>
      <c r="BA64" s="594">
        <v>0</v>
      </c>
      <c r="BB64" s="581">
        <v>1000</v>
      </c>
      <c r="BC64" s="597">
        <f>Table35[[#This Row],[Total Expenditure]]/Table35[[#This Row],[Number of pupils (FTE)]]</f>
        <v>15771.428571428571</v>
      </c>
      <c r="BD64" s="598">
        <f>Table35[[#This Row],[Total Staff Costs]]/Table35[[#This Row],[Number of pupils (FTE)]]</f>
        <v>13571.428571428571</v>
      </c>
      <c r="BE64" s="598">
        <f>Table35[[#This Row],[Teaching staff]]/Table35[[#This Row],[Number of teachers in academy (FTE)]]</f>
        <v>0</v>
      </c>
      <c r="BF64" s="599">
        <f>Table35[[#This Row],[Number of pupils (FTE)]]/Table35[[#This Row],[Number of teachers in academy (FTE)]]</f>
        <v>11.075949367088606</v>
      </c>
      <c r="BG64" s="600">
        <f t="shared" si="0"/>
        <v>1600</v>
      </c>
      <c r="BH64" s="598">
        <f>Table35[[#This Row],[Premises Costs]]/Table35[[#This Row],[Number of pupils (FTE)]]</f>
        <v>228.57142857142858</v>
      </c>
      <c r="BI64" s="598">
        <f>Table35[[#This Row],[Maintenance &amp; Improvement Costs]]/Table35[[#This Row],[Number of pupils (FTE)]]</f>
        <v>142.85714285714286</v>
      </c>
      <c r="BJ64" s="598" t="e">
        <f>#REF!/E64</f>
        <v>#REF!</v>
      </c>
      <c r="BK64" s="598">
        <f t="shared" si="1"/>
        <v>0</v>
      </c>
      <c r="BL64" s="598">
        <f t="shared" si="2"/>
        <v>28.571428571428573</v>
      </c>
      <c r="BM64" s="598">
        <f t="shared" si="3"/>
        <v>400</v>
      </c>
      <c r="BN64" s="598">
        <f t="shared" si="4"/>
        <v>714.28571428571433</v>
      </c>
      <c r="BO64" s="598">
        <f t="shared" si="5"/>
        <v>114.28571428571429</v>
      </c>
      <c r="BP64" s="598">
        <f t="shared" si="6"/>
        <v>200</v>
      </c>
      <c r="BQ64" s="598">
        <f t="shared" si="7"/>
        <v>1057.1428571428571</v>
      </c>
      <c r="BR64" s="598">
        <f t="shared" si="8"/>
        <v>828.57142857142856</v>
      </c>
      <c r="BS64" s="598">
        <f t="shared" si="9"/>
        <v>28.571428571428573</v>
      </c>
    </row>
    <row r="65" spans="1:71" ht="29" hidden="1" x14ac:dyDescent="0.35">
      <c r="A65" s="580">
        <v>925</v>
      </c>
      <c r="B65" s="580" t="s">
        <v>489</v>
      </c>
      <c r="C65" s="593" t="s">
        <v>581</v>
      </c>
      <c r="D65" s="593" t="s">
        <v>555</v>
      </c>
      <c r="E65" s="580">
        <v>86</v>
      </c>
      <c r="F65" s="580">
        <v>5.27</v>
      </c>
      <c r="G65" s="580" t="s">
        <v>500</v>
      </c>
      <c r="H65" s="580">
        <v>19.8</v>
      </c>
      <c r="I65" s="580">
        <v>3.5</v>
      </c>
      <c r="J65" s="580">
        <v>17.399999999999999</v>
      </c>
      <c r="K65" s="580">
        <v>0</v>
      </c>
      <c r="L65" s="581">
        <v>725000</v>
      </c>
      <c r="M65" s="581">
        <v>820000</v>
      </c>
      <c r="N65" s="582">
        <f>Table35[[#This Row],[Total Income]]-Table35[[#This Row],[Total Expenditure]]</f>
        <v>-95000</v>
      </c>
      <c r="O65" s="581">
        <v>0</v>
      </c>
      <c r="Z65" s="581">
        <v>515000</v>
      </c>
      <c r="AA65" s="595">
        <f>M65-Z65-Table35[[#This Row],[Maintenance &amp; Improvement]]-Table35[[#This Row],[Cleaning &amp; Caretaking]]-Table35[[#This Row],[Catering Supply]]</f>
        <v>91000</v>
      </c>
      <c r="AB65" s="581">
        <v>9000</v>
      </c>
      <c r="AC65" s="594">
        <v>9000</v>
      </c>
      <c r="AD65" s="594">
        <v>205000</v>
      </c>
      <c r="AE65" s="594">
        <v>14000</v>
      </c>
      <c r="AF65" s="594">
        <v>0</v>
      </c>
      <c r="AG65" s="581">
        <v>228000</v>
      </c>
      <c r="AH65" s="581">
        <v>0</v>
      </c>
      <c r="AI65" s="596">
        <v>0</v>
      </c>
      <c r="AJ65" s="594">
        <v>0</v>
      </c>
      <c r="AK65" s="594">
        <v>1000</v>
      </c>
      <c r="AL65" s="594">
        <v>2000</v>
      </c>
      <c r="AM65" s="594">
        <v>10000</v>
      </c>
      <c r="AN65" s="594">
        <v>2000</v>
      </c>
      <c r="AO65" s="594">
        <v>1000</v>
      </c>
      <c r="AP65" s="581">
        <v>16000</v>
      </c>
      <c r="AQ65" s="594">
        <v>21000</v>
      </c>
      <c r="AR65" s="594">
        <v>0</v>
      </c>
      <c r="AS65" s="594">
        <v>0</v>
      </c>
      <c r="AT65" s="594">
        <v>27000</v>
      </c>
      <c r="AU65" s="581">
        <v>61000</v>
      </c>
      <c r="AV65" s="594">
        <v>21000</v>
      </c>
      <c r="AW65" s="594">
        <v>0</v>
      </c>
      <c r="AX65" s="594">
        <v>0</v>
      </c>
      <c r="AY65" s="581">
        <v>21000</v>
      </c>
      <c r="AZ65" s="594">
        <v>12000</v>
      </c>
      <c r="BA65" s="594">
        <v>1000</v>
      </c>
      <c r="BB65" s="581">
        <v>13000</v>
      </c>
      <c r="BC65" s="597">
        <f>Table35[[#This Row],[Total Expenditure]]/Table35[[#This Row],[Number of pupils (FTE)]]</f>
        <v>9534.8837209302328</v>
      </c>
      <c r="BD65" s="598">
        <f>Table35[[#This Row],[Total Staff Costs]]/Table35[[#This Row],[Number of pupils (FTE)]]</f>
        <v>5988.3720930232557</v>
      </c>
      <c r="BE65" s="598">
        <f>Table35[[#This Row],[Teaching staff]]/Table35[[#This Row],[Number of teachers in academy (FTE)]]</f>
        <v>0</v>
      </c>
      <c r="BF65" s="599">
        <f>Table35[[#This Row],[Number of pupils (FTE)]]/Table35[[#This Row],[Number of teachers in academy (FTE)]]</f>
        <v>16.318785578747629</v>
      </c>
      <c r="BG65" s="600">
        <f t="shared" si="0"/>
        <v>1058.1395348837209</v>
      </c>
      <c r="BH65" s="598">
        <f>Table35[[#This Row],[Premises Costs]]/Table35[[#This Row],[Number of pupils (FTE)]]</f>
        <v>2651.1627906976746</v>
      </c>
      <c r="BI65" s="598">
        <f>Table35[[#This Row],[Maintenance &amp; Improvement Costs]]/Table35[[#This Row],[Number of pupils (FTE)]]</f>
        <v>104.65116279069767</v>
      </c>
      <c r="BJ65" s="598" t="e">
        <f>#REF!/E65</f>
        <v>#REF!</v>
      </c>
      <c r="BK65" s="598">
        <f t="shared" si="1"/>
        <v>11.627906976744185</v>
      </c>
      <c r="BL65" s="598">
        <f t="shared" si="2"/>
        <v>23.255813953488371</v>
      </c>
      <c r="BM65" s="598">
        <f t="shared" si="3"/>
        <v>116.27906976744185</v>
      </c>
      <c r="BN65" s="598">
        <f t="shared" si="4"/>
        <v>244.18604651162789</v>
      </c>
      <c r="BO65" s="598">
        <f t="shared" si="5"/>
        <v>0</v>
      </c>
      <c r="BP65" s="598">
        <f t="shared" si="6"/>
        <v>313.95348837209303</v>
      </c>
      <c r="BQ65" s="598">
        <f t="shared" si="7"/>
        <v>709.30232558139539</v>
      </c>
      <c r="BR65" s="598">
        <f t="shared" si="8"/>
        <v>244.18604651162789</v>
      </c>
      <c r="BS65" s="598">
        <f t="shared" si="9"/>
        <v>151.16279069767441</v>
      </c>
    </row>
    <row r="66" spans="1:71" ht="29" hidden="1" x14ac:dyDescent="0.35">
      <c r="A66" s="580">
        <v>925</v>
      </c>
      <c r="B66" s="580" t="s">
        <v>489</v>
      </c>
      <c r="C66" s="593" t="s">
        <v>582</v>
      </c>
      <c r="D66" s="593" t="s">
        <v>528</v>
      </c>
      <c r="E66" s="580">
        <v>51</v>
      </c>
      <c r="F66" s="580">
        <v>5</v>
      </c>
      <c r="G66" s="580" t="s">
        <v>500</v>
      </c>
      <c r="H66" s="580">
        <v>40.4</v>
      </c>
      <c r="I66" s="580">
        <v>0</v>
      </c>
      <c r="J66" s="580">
        <v>19.2</v>
      </c>
      <c r="K66" s="580">
        <v>0</v>
      </c>
      <c r="L66" s="581">
        <v>495000</v>
      </c>
      <c r="M66" s="581">
        <v>481000</v>
      </c>
      <c r="N66" s="582">
        <f>Table35[[#This Row],[Total Income]]-Table35[[#This Row],[Total Expenditure]]</f>
        <v>14000</v>
      </c>
      <c r="O66" s="581">
        <v>14000</v>
      </c>
      <c r="Z66" s="581">
        <v>366000</v>
      </c>
      <c r="AA66" s="595">
        <f>M66-Z66-Table35[[#This Row],[Maintenance &amp; Improvement]]-Table35[[#This Row],[Cleaning &amp; Caretaking]]-Table35[[#This Row],[Catering Supply]]</f>
        <v>96000</v>
      </c>
      <c r="AB66" s="581">
        <v>8000</v>
      </c>
      <c r="AC66" s="594">
        <v>8000</v>
      </c>
      <c r="AD66" s="594">
        <v>2000</v>
      </c>
      <c r="AE66" s="594">
        <v>23000</v>
      </c>
      <c r="AF66" s="594">
        <v>0</v>
      </c>
      <c r="AG66" s="581">
        <v>33000</v>
      </c>
      <c r="AH66" s="581">
        <v>9000</v>
      </c>
      <c r="AI66" s="596">
        <v>0</v>
      </c>
      <c r="AJ66" s="594">
        <v>9000</v>
      </c>
      <c r="AK66" s="594">
        <v>1000</v>
      </c>
      <c r="AL66" s="594">
        <v>7000</v>
      </c>
      <c r="AM66" s="594">
        <v>20000</v>
      </c>
      <c r="AN66" s="594">
        <v>1000</v>
      </c>
      <c r="AO66" s="594">
        <v>2000</v>
      </c>
      <c r="AP66" s="581">
        <v>40000</v>
      </c>
      <c r="AQ66" s="594">
        <v>21000</v>
      </c>
      <c r="AR66" s="594">
        <v>2000</v>
      </c>
      <c r="AS66" s="594">
        <v>0</v>
      </c>
      <c r="AT66" s="594">
        <v>10000</v>
      </c>
      <c r="AU66" s="581">
        <v>42000</v>
      </c>
      <c r="AV66" s="594">
        <v>21000</v>
      </c>
      <c r="AW66" s="594">
        <v>2000</v>
      </c>
      <c r="AX66" s="594">
        <v>0</v>
      </c>
      <c r="AY66" s="581">
        <v>23000</v>
      </c>
      <c r="AZ66" s="594">
        <v>6000</v>
      </c>
      <c r="BA66" s="594">
        <v>3000</v>
      </c>
      <c r="BB66" s="581">
        <v>9000</v>
      </c>
      <c r="BC66" s="597">
        <f>Table35[[#This Row],[Total Expenditure]]/Table35[[#This Row],[Number of pupils (FTE)]]</f>
        <v>9431.3725490196084</v>
      </c>
      <c r="BD66" s="598">
        <f>Table35[[#This Row],[Total Staff Costs]]/Table35[[#This Row],[Number of pupils (FTE)]]</f>
        <v>7176.4705882352937</v>
      </c>
      <c r="BE66" s="598">
        <f>Table35[[#This Row],[Teaching staff]]/Table35[[#This Row],[Number of teachers in academy (FTE)]]</f>
        <v>0</v>
      </c>
      <c r="BF66" s="599">
        <f>Table35[[#This Row],[Number of pupils (FTE)]]/Table35[[#This Row],[Number of teachers in academy (FTE)]]</f>
        <v>10.199999999999999</v>
      </c>
      <c r="BG66" s="600">
        <f t="shared" si="0"/>
        <v>1882.3529411764705</v>
      </c>
      <c r="BH66" s="598">
        <f>Table35[[#This Row],[Premises Costs]]/Table35[[#This Row],[Number of pupils (FTE)]]</f>
        <v>647.05882352941171</v>
      </c>
      <c r="BI66" s="598">
        <f>Table35[[#This Row],[Maintenance &amp; Improvement Costs]]/Table35[[#This Row],[Number of pupils (FTE)]]</f>
        <v>156.86274509803923</v>
      </c>
      <c r="BJ66" s="598" t="e">
        <f>#REF!/E66</f>
        <v>#REF!</v>
      </c>
      <c r="BK66" s="598">
        <f t="shared" si="1"/>
        <v>19.607843137254903</v>
      </c>
      <c r="BL66" s="598">
        <f t="shared" si="2"/>
        <v>137.25490196078431</v>
      </c>
      <c r="BM66" s="598">
        <f t="shared" si="3"/>
        <v>392.15686274509807</v>
      </c>
      <c r="BN66" s="598">
        <f t="shared" si="4"/>
        <v>411.76470588235293</v>
      </c>
      <c r="BO66" s="598">
        <f t="shared" si="5"/>
        <v>39.215686274509807</v>
      </c>
      <c r="BP66" s="598">
        <f t="shared" si="6"/>
        <v>196.07843137254903</v>
      </c>
      <c r="BQ66" s="598">
        <f t="shared" si="7"/>
        <v>823.52941176470586</v>
      </c>
      <c r="BR66" s="598">
        <f t="shared" si="8"/>
        <v>450.98039215686276</v>
      </c>
      <c r="BS66" s="598">
        <f t="shared" si="9"/>
        <v>176.47058823529412</v>
      </c>
    </row>
    <row r="67" spans="1:71" ht="29" hidden="1" x14ac:dyDescent="0.35">
      <c r="A67" s="580">
        <v>925</v>
      </c>
      <c r="B67" s="580" t="s">
        <v>489</v>
      </c>
      <c r="C67" s="593" t="s">
        <v>583</v>
      </c>
      <c r="D67" s="593" t="s">
        <v>584</v>
      </c>
      <c r="E67" s="580">
        <v>181</v>
      </c>
      <c r="F67" s="580">
        <v>7</v>
      </c>
      <c r="G67" s="580" t="s">
        <v>500</v>
      </c>
      <c r="H67" s="580">
        <v>23.2</v>
      </c>
      <c r="I67" s="580">
        <v>1.7</v>
      </c>
      <c r="J67" s="580">
        <v>12.2</v>
      </c>
      <c r="K67" s="580">
        <v>0</v>
      </c>
      <c r="L67" s="581">
        <v>1135000</v>
      </c>
      <c r="M67" s="581">
        <v>1073000</v>
      </c>
      <c r="N67" s="582">
        <f>Table35[[#This Row],[Total Income]]-Table35[[#This Row],[Total Expenditure]]</f>
        <v>62000</v>
      </c>
      <c r="O67" s="581">
        <v>1000</v>
      </c>
      <c r="Z67" s="581">
        <v>825000</v>
      </c>
      <c r="AA67" s="595">
        <f>M67-Z67-Table35[[#This Row],[Maintenance &amp; Improvement]]-Table35[[#This Row],[Cleaning &amp; Caretaking]]-Table35[[#This Row],[Catering Supply]]</f>
        <v>192000</v>
      </c>
      <c r="AB67" s="581">
        <v>8000</v>
      </c>
      <c r="AC67" s="594">
        <v>8000</v>
      </c>
      <c r="AD67" s="594">
        <v>6000</v>
      </c>
      <c r="AE67" s="594">
        <v>37000</v>
      </c>
      <c r="AF67" s="594">
        <v>0</v>
      </c>
      <c r="AG67" s="581">
        <v>51000</v>
      </c>
      <c r="AH67" s="581">
        <v>75000</v>
      </c>
      <c r="AI67" s="596">
        <v>33000</v>
      </c>
      <c r="AJ67" s="594">
        <v>42000</v>
      </c>
      <c r="AK67" s="594">
        <v>0</v>
      </c>
      <c r="AL67" s="594">
        <v>7000</v>
      </c>
      <c r="AM67" s="594">
        <v>26000</v>
      </c>
      <c r="AN67" s="594">
        <v>4000</v>
      </c>
      <c r="AO67" s="594">
        <v>0</v>
      </c>
      <c r="AP67" s="581">
        <v>112000</v>
      </c>
      <c r="AQ67" s="594">
        <v>82000</v>
      </c>
      <c r="AR67" s="594">
        <v>3000</v>
      </c>
      <c r="AS67" s="594">
        <v>0</v>
      </c>
      <c r="AT67" s="594">
        <v>0</v>
      </c>
      <c r="AU67" s="581">
        <v>85000</v>
      </c>
      <c r="AV67" s="594">
        <v>82000</v>
      </c>
      <c r="AW67" s="594">
        <v>3000</v>
      </c>
      <c r="AX67" s="594">
        <v>0</v>
      </c>
      <c r="AY67" s="581">
        <v>85000</v>
      </c>
      <c r="AZ67" s="594">
        <v>0</v>
      </c>
      <c r="BA67" s="594">
        <v>0</v>
      </c>
      <c r="BB67" s="581">
        <v>0</v>
      </c>
      <c r="BC67" s="597">
        <f>Table35[[#This Row],[Total Expenditure]]/Table35[[#This Row],[Number of pupils (FTE)]]</f>
        <v>5928.1767955801106</v>
      </c>
      <c r="BD67" s="598">
        <f>Table35[[#This Row],[Total Staff Costs]]/Table35[[#This Row],[Number of pupils (FTE)]]</f>
        <v>4558.0110497237565</v>
      </c>
      <c r="BE67" s="598">
        <f>Table35[[#This Row],[Teaching staff]]/Table35[[#This Row],[Number of teachers in academy (FTE)]]</f>
        <v>0</v>
      </c>
      <c r="BF67" s="599">
        <f>Table35[[#This Row],[Number of pupils (FTE)]]/Table35[[#This Row],[Number of teachers in academy (FTE)]]</f>
        <v>25.857142857142858</v>
      </c>
      <c r="BG67" s="600">
        <f t="shared" ref="BG67:BG130" si="10">AA67/E67</f>
        <v>1060.7734806629835</v>
      </c>
      <c r="BH67" s="598">
        <f>Table35[[#This Row],[Premises Costs]]/Table35[[#This Row],[Number of pupils (FTE)]]</f>
        <v>281.76795580110496</v>
      </c>
      <c r="BI67" s="598">
        <f>Table35[[#This Row],[Maintenance &amp; Improvement Costs]]/Table35[[#This Row],[Number of pupils (FTE)]]</f>
        <v>44.19889502762431</v>
      </c>
      <c r="BJ67" s="598" t="e">
        <f>#REF!/E67</f>
        <v>#REF!</v>
      </c>
      <c r="BK67" s="598">
        <f t="shared" ref="BK67:BK130" si="11">AK67/E67</f>
        <v>0</v>
      </c>
      <c r="BL67" s="598">
        <f t="shared" ref="BL67:BL130" si="12">AL67/E67</f>
        <v>38.674033149171272</v>
      </c>
      <c r="BM67" s="598">
        <f t="shared" ref="BM67:BM130" si="13">AM67/E67</f>
        <v>143.64640883977901</v>
      </c>
      <c r="BN67" s="598">
        <f t="shared" ref="BN67:BN130" si="14">AQ67/E67</f>
        <v>453.03867403314916</v>
      </c>
      <c r="BO67" s="598">
        <f t="shared" ref="BO67:BO130" si="15">AR67/E67</f>
        <v>16.574585635359117</v>
      </c>
      <c r="BP67" s="598">
        <f t="shared" ref="BP67:BP130" si="16">AT67/E67</f>
        <v>0</v>
      </c>
      <c r="BQ67" s="598">
        <f t="shared" ref="BQ67:BQ130" si="17">AU67/E67</f>
        <v>469.61325966850831</v>
      </c>
      <c r="BR67" s="598">
        <f t="shared" ref="BR67:BR130" si="18">AY67/E67</f>
        <v>469.61325966850831</v>
      </c>
      <c r="BS67" s="598">
        <f t="shared" ref="BS67:BS130" si="19">BB67/E67</f>
        <v>0</v>
      </c>
    </row>
    <row r="68" spans="1:71" ht="29" hidden="1" x14ac:dyDescent="0.35">
      <c r="A68" s="580">
        <v>925</v>
      </c>
      <c r="B68" s="580" t="s">
        <v>489</v>
      </c>
      <c r="C68" s="593" t="s">
        <v>585</v>
      </c>
      <c r="D68" s="593" t="s">
        <v>494</v>
      </c>
      <c r="E68" s="580">
        <v>219</v>
      </c>
      <c r="F68" s="580">
        <v>10.4</v>
      </c>
      <c r="G68" s="580" t="s">
        <v>500</v>
      </c>
      <c r="H68" s="580">
        <v>56.7</v>
      </c>
      <c r="I68" s="580">
        <v>4.5999999999999996</v>
      </c>
      <c r="J68" s="580">
        <v>23.5</v>
      </c>
      <c r="K68" s="580">
        <v>0</v>
      </c>
      <c r="L68" s="581">
        <v>1901000</v>
      </c>
      <c r="M68" s="581">
        <v>1630000</v>
      </c>
      <c r="N68" s="582">
        <f>Table35[[#This Row],[Total Income]]-Table35[[#This Row],[Total Expenditure]]</f>
        <v>271000</v>
      </c>
      <c r="O68" s="581">
        <v>322000</v>
      </c>
      <c r="Z68" s="581">
        <v>1370000</v>
      </c>
      <c r="AA68" s="595">
        <f>M68-Z68-Table35[[#This Row],[Maintenance &amp; Improvement]]-Table35[[#This Row],[Cleaning &amp; Caretaking]]-Table35[[#This Row],[Catering Supply]]</f>
        <v>169000</v>
      </c>
      <c r="AB68" s="581">
        <v>25000</v>
      </c>
      <c r="AC68" s="594">
        <v>25000</v>
      </c>
      <c r="AD68" s="594">
        <v>30000</v>
      </c>
      <c r="AE68" s="594">
        <v>13000</v>
      </c>
      <c r="AF68" s="594">
        <v>0</v>
      </c>
      <c r="AG68" s="581">
        <v>68000</v>
      </c>
      <c r="AH68" s="581">
        <v>36000</v>
      </c>
      <c r="AI68" s="596">
        <v>0</v>
      </c>
      <c r="AJ68" s="594">
        <v>36000</v>
      </c>
      <c r="AK68" s="594">
        <v>2000</v>
      </c>
      <c r="AL68" s="594">
        <v>7000</v>
      </c>
      <c r="AM68" s="594">
        <v>25000</v>
      </c>
      <c r="AN68" s="594">
        <v>5000</v>
      </c>
      <c r="AO68" s="594">
        <v>17000</v>
      </c>
      <c r="AP68" s="581">
        <v>92000</v>
      </c>
      <c r="AQ68" s="594">
        <v>41000</v>
      </c>
      <c r="AR68" s="594">
        <v>7000</v>
      </c>
      <c r="AS68" s="594">
        <v>0</v>
      </c>
      <c r="AT68" s="594">
        <v>34000</v>
      </c>
      <c r="AU68" s="581">
        <v>100000</v>
      </c>
      <c r="AV68" s="594">
        <v>41000</v>
      </c>
      <c r="AW68" s="594">
        <v>7000</v>
      </c>
      <c r="AX68" s="594">
        <v>0</v>
      </c>
      <c r="AY68" s="581">
        <v>48000</v>
      </c>
      <c r="AZ68" s="594">
        <v>14000</v>
      </c>
      <c r="BA68" s="594">
        <v>4000</v>
      </c>
      <c r="BB68" s="581">
        <v>18000</v>
      </c>
      <c r="BC68" s="597">
        <f>Table35[[#This Row],[Total Expenditure]]/Table35[[#This Row],[Number of pupils (FTE)]]</f>
        <v>7442.922374429224</v>
      </c>
      <c r="BD68" s="598">
        <f>Table35[[#This Row],[Total Staff Costs]]/Table35[[#This Row],[Number of pupils (FTE)]]</f>
        <v>6255.7077625570773</v>
      </c>
      <c r="BE68" s="598">
        <f>Table35[[#This Row],[Teaching staff]]/Table35[[#This Row],[Number of teachers in academy (FTE)]]</f>
        <v>0</v>
      </c>
      <c r="BF68" s="599">
        <f>Table35[[#This Row],[Number of pupils (FTE)]]/Table35[[#This Row],[Number of teachers in academy (FTE)]]</f>
        <v>21.057692307692307</v>
      </c>
      <c r="BG68" s="600">
        <f t="shared" si="10"/>
        <v>771.68949771689495</v>
      </c>
      <c r="BH68" s="598">
        <f>Table35[[#This Row],[Premises Costs]]/Table35[[#This Row],[Number of pupils (FTE)]]</f>
        <v>310.50228310502285</v>
      </c>
      <c r="BI68" s="598">
        <f>Table35[[#This Row],[Maintenance &amp; Improvement Costs]]/Table35[[#This Row],[Number of pupils (FTE)]]</f>
        <v>114.15525114155251</v>
      </c>
      <c r="BJ68" s="598" t="e">
        <f>#REF!/E68</f>
        <v>#REF!</v>
      </c>
      <c r="BK68" s="598">
        <f t="shared" si="11"/>
        <v>9.1324200913242013</v>
      </c>
      <c r="BL68" s="598">
        <f t="shared" si="12"/>
        <v>31.963470319634702</v>
      </c>
      <c r="BM68" s="598">
        <f t="shared" si="13"/>
        <v>114.15525114155251</v>
      </c>
      <c r="BN68" s="598">
        <f t="shared" si="14"/>
        <v>187.21461187214612</v>
      </c>
      <c r="BO68" s="598">
        <f t="shared" si="15"/>
        <v>31.963470319634702</v>
      </c>
      <c r="BP68" s="598">
        <f t="shared" si="16"/>
        <v>155.25114155251143</v>
      </c>
      <c r="BQ68" s="598">
        <f t="shared" si="17"/>
        <v>456.62100456621005</v>
      </c>
      <c r="BR68" s="598">
        <f t="shared" si="18"/>
        <v>219.17808219178082</v>
      </c>
      <c r="BS68" s="598">
        <f t="shared" si="19"/>
        <v>82.191780821917803</v>
      </c>
    </row>
    <row r="69" spans="1:71" ht="29" hidden="1" x14ac:dyDescent="0.35">
      <c r="A69" s="580">
        <v>925</v>
      </c>
      <c r="B69" s="580" t="s">
        <v>489</v>
      </c>
      <c r="C69" s="593" t="s">
        <v>586</v>
      </c>
      <c r="D69" s="593" t="s">
        <v>587</v>
      </c>
      <c r="E69" s="580">
        <v>421</v>
      </c>
      <c r="F69" s="580">
        <v>20.350000000000001</v>
      </c>
      <c r="G69" s="580" t="s">
        <v>500</v>
      </c>
      <c r="H69" s="580">
        <v>30.6</v>
      </c>
      <c r="I69" s="580">
        <v>1.7</v>
      </c>
      <c r="J69" s="580">
        <v>14.3</v>
      </c>
      <c r="K69" s="580">
        <v>0</v>
      </c>
      <c r="L69" s="581">
        <v>2499000</v>
      </c>
      <c r="M69" s="581">
        <v>2685000</v>
      </c>
      <c r="N69" s="582">
        <f>Table35[[#This Row],[Total Income]]-Table35[[#This Row],[Total Expenditure]]</f>
        <v>-186000</v>
      </c>
      <c r="O69" s="581">
        <v>461000</v>
      </c>
      <c r="Z69" s="581">
        <v>2173000</v>
      </c>
      <c r="AA69" s="595">
        <f>M69-Z69-Table35[[#This Row],[Maintenance &amp; Improvement]]-Table35[[#This Row],[Cleaning &amp; Caretaking]]-Table35[[#This Row],[Catering Supply]]</f>
        <v>291000</v>
      </c>
      <c r="AB69" s="581">
        <v>43000</v>
      </c>
      <c r="AC69" s="594">
        <v>43000</v>
      </c>
      <c r="AD69" s="594">
        <v>49000</v>
      </c>
      <c r="AE69" s="594">
        <v>54000</v>
      </c>
      <c r="AF69" s="594">
        <v>0</v>
      </c>
      <c r="AG69" s="581">
        <v>146000</v>
      </c>
      <c r="AH69" s="581">
        <v>129000</v>
      </c>
      <c r="AI69" s="596">
        <v>0</v>
      </c>
      <c r="AJ69" s="594">
        <v>129000</v>
      </c>
      <c r="AK69" s="594">
        <v>4000</v>
      </c>
      <c r="AL69" s="594">
        <v>9000</v>
      </c>
      <c r="AM69" s="594">
        <v>29000</v>
      </c>
      <c r="AN69" s="594">
        <v>0</v>
      </c>
      <c r="AO69" s="594">
        <v>7000</v>
      </c>
      <c r="AP69" s="581">
        <v>178000</v>
      </c>
      <c r="AQ69" s="594">
        <v>70000</v>
      </c>
      <c r="AR69" s="594">
        <v>0</v>
      </c>
      <c r="AS69" s="594">
        <v>0</v>
      </c>
      <c r="AT69" s="594">
        <v>66000</v>
      </c>
      <c r="AU69" s="581">
        <v>188000</v>
      </c>
      <c r="AV69" s="594">
        <v>70000</v>
      </c>
      <c r="AW69" s="594">
        <v>0</v>
      </c>
      <c r="AX69" s="594">
        <v>0</v>
      </c>
      <c r="AY69" s="581">
        <v>70000</v>
      </c>
      <c r="AZ69" s="594">
        <v>30000</v>
      </c>
      <c r="BA69" s="594">
        <v>22000</v>
      </c>
      <c r="BB69" s="581">
        <v>52000</v>
      </c>
      <c r="BC69" s="597">
        <f>Table35[[#This Row],[Total Expenditure]]/Table35[[#This Row],[Number of pupils (FTE)]]</f>
        <v>6377.6722090261283</v>
      </c>
      <c r="BD69" s="598">
        <f>Table35[[#This Row],[Total Staff Costs]]/Table35[[#This Row],[Number of pupils (FTE)]]</f>
        <v>5161.5201900237525</v>
      </c>
      <c r="BE69" s="598">
        <f>Table35[[#This Row],[Teaching staff]]/Table35[[#This Row],[Number of teachers in academy (FTE)]]</f>
        <v>0</v>
      </c>
      <c r="BF69" s="599">
        <f>Table35[[#This Row],[Number of pupils (FTE)]]/Table35[[#This Row],[Number of teachers in academy (FTE)]]</f>
        <v>20.687960687960686</v>
      </c>
      <c r="BG69" s="600">
        <f t="shared" si="10"/>
        <v>691.21140142517811</v>
      </c>
      <c r="BH69" s="598">
        <f>Table35[[#This Row],[Premises Costs]]/Table35[[#This Row],[Number of pupils (FTE)]]</f>
        <v>346.7933491686461</v>
      </c>
      <c r="BI69" s="598">
        <f>Table35[[#This Row],[Maintenance &amp; Improvement Costs]]/Table35[[#This Row],[Number of pupils (FTE)]]</f>
        <v>102.13776722090262</v>
      </c>
      <c r="BJ69" s="598" t="e">
        <f>#REF!/E69</f>
        <v>#REF!</v>
      </c>
      <c r="BK69" s="598">
        <f t="shared" si="11"/>
        <v>9.5011876484560567</v>
      </c>
      <c r="BL69" s="598">
        <f t="shared" si="12"/>
        <v>21.377672209026127</v>
      </c>
      <c r="BM69" s="598">
        <f t="shared" si="13"/>
        <v>68.88361045130641</v>
      </c>
      <c r="BN69" s="598">
        <f t="shared" si="14"/>
        <v>166.27078384798099</v>
      </c>
      <c r="BO69" s="598">
        <f t="shared" si="15"/>
        <v>0</v>
      </c>
      <c r="BP69" s="598">
        <f t="shared" si="16"/>
        <v>156.76959619952495</v>
      </c>
      <c r="BQ69" s="598">
        <f t="shared" si="17"/>
        <v>446.55581947743468</v>
      </c>
      <c r="BR69" s="598">
        <f t="shared" si="18"/>
        <v>166.27078384798099</v>
      </c>
      <c r="BS69" s="598">
        <f t="shared" si="19"/>
        <v>123.51543942992875</v>
      </c>
    </row>
    <row r="70" spans="1:71" hidden="1" x14ac:dyDescent="0.35">
      <c r="A70" s="580">
        <v>925</v>
      </c>
      <c r="B70" s="580" t="s">
        <v>489</v>
      </c>
      <c r="C70" s="593" t="s">
        <v>588</v>
      </c>
      <c r="D70" s="593" t="s">
        <v>589</v>
      </c>
      <c r="E70" s="580">
        <v>85</v>
      </c>
      <c r="F70" s="580">
        <v>5</v>
      </c>
      <c r="G70" s="580" t="s">
        <v>500</v>
      </c>
      <c r="H70" s="580">
        <v>6.5</v>
      </c>
      <c r="I70" s="580">
        <v>1.1000000000000001</v>
      </c>
      <c r="J70" s="580">
        <v>6.5</v>
      </c>
      <c r="K70" s="580">
        <v>0</v>
      </c>
      <c r="L70" s="581">
        <v>597000</v>
      </c>
      <c r="M70" s="581">
        <v>597000</v>
      </c>
      <c r="N70" s="582">
        <f>Table35[[#This Row],[Total Income]]-Table35[[#This Row],[Total Expenditure]]</f>
        <v>0</v>
      </c>
      <c r="O70" s="581">
        <v>360000</v>
      </c>
      <c r="Z70" s="581">
        <v>491000</v>
      </c>
      <c r="AA70" s="595">
        <f>M70-Z70-Table35[[#This Row],[Maintenance &amp; Improvement]]-Table35[[#This Row],[Cleaning &amp; Caretaking]]-Table35[[#This Row],[Catering Supply]]</f>
        <v>56000</v>
      </c>
      <c r="AB70" s="581">
        <v>10000</v>
      </c>
      <c r="AC70" s="594">
        <v>10000</v>
      </c>
      <c r="AD70" s="594">
        <v>21000</v>
      </c>
      <c r="AE70" s="594">
        <v>0</v>
      </c>
      <c r="AF70" s="594">
        <v>0</v>
      </c>
      <c r="AG70" s="581">
        <v>31000</v>
      </c>
      <c r="AH70" s="581">
        <v>19000</v>
      </c>
      <c r="AI70" s="596">
        <v>0</v>
      </c>
      <c r="AJ70" s="594">
        <v>19000</v>
      </c>
      <c r="AK70" s="594">
        <v>2000</v>
      </c>
      <c r="AL70" s="594">
        <v>2000</v>
      </c>
      <c r="AM70" s="594">
        <v>8000</v>
      </c>
      <c r="AN70" s="594">
        <v>2000</v>
      </c>
      <c r="AO70" s="594">
        <v>6000</v>
      </c>
      <c r="AP70" s="581">
        <v>39000</v>
      </c>
      <c r="AQ70" s="594">
        <v>24000</v>
      </c>
      <c r="AR70" s="594">
        <v>2000</v>
      </c>
      <c r="AS70" s="594">
        <v>0</v>
      </c>
      <c r="AT70" s="594">
        <v>8000</v>
      </c>
      <c r="AU70" s="581">
        <v>36000</v>
      </c>
      <c r="AV70" s="594">
        <v>24000</v>
      </c>
      <c r="AW70" s="594">
        <v>2000</v>
      </c>
      <c r="AX70" s="594">
        <v>0</v>
      </c>
      <c r="AY70" s="581">
        <v>26000</v>
      </c>
      <c r="AZ70" s="594">
        <v>0</v>
      </c>
      <c r="BA70" s="594">
        <v>2000</v>
      </c>
      <c r="BB70" s="581">
        <v>2000</v>
      </c>
      <c r="BC70" s="597">
        <f>Table35[[#This Row],[Total Expenditure]]/Table35[[#This Row],[Number of pupils (FTE)]]</f>
        <v>7023.5294117647063</v>
      </c>
      <c r="BD70" s="598">
        <f>Table35[[#This Row],[Total Staff Costs]]/Table35[[#This Row],[Number of pupils (FTE)]]</f>
        <v>5776.4705882352937</v>
      </c>
      <c r="BE70" s="598">
        <f>Table35[[#This Row],[Teaching staff]]/Table35[[#This Row],[Number of teachers in academy (FTE)]]</f>
        <v>0</v>
      </c>
      <c r="BF70" s="599">
        <f>Table35[[#This Row],[Number of pupils (FTE)]]/Table35[[#This Row],[Number of teachers in academy (FTE)]]</f>
        <v>17</v>
      </c>
      <c r="BG70" s="600">
        <f t="shared" si="10"/>
        <v>658.82352941176475</v>
      </c>
      <c r="BH70" s="598">
        <f>Table35[[#This Row],[Premises Costs]]/Table35[[#This Row],[Number of pupils (FTE)]]</f>
        <v>364.70588235294116</v>
      </c>
      <c r="BI70" s="598">
        <f>Table35[[#This Row],[Maintenance &amp; Improvement Costs]]/Table35[[#This Row],[Number of pupils (FTE)]]</f>
        <v>117.64705882352941</v>
      </c>
      <c r="BJ70" s="598" t="e">
        <f>#REF!/E70</f>
        <v>#REF!</v>
      </c>
      <c r="BK70" s="598">
        <f t="shared" si="11"/>
        <v>23.529411764705884</v>
      </c>
      <c r="BL70" s="598">
        <f t="shared" si="12"/>
        <v>23.529411764705884</v>
      </c>
      <c r="BM70" s="598">
        <f t="shared" si="13"/>
        <v>94.117647058823536</v>
      </c>
      <c r="BN70" s="598">
        <f t="shared" si="14"/>
        <v>282.35294117647061</v>
      </c>
      <c r="BO70" s="598">
        <f t="shared" si="15"/>
        <v>23.529411764705884</v>
      </c>
      <c r="BP70" s="598">
        <f t="shared" si="16"/>
        <v>94.117647058823536</v>
      </c>
      <c r="BQ70" s="598">
        <f t="shared" si="17"/>
        <v>423.52941176470586</v>
      </c>
      <c r="BR70" s="598">
        <f t="shared" si="18"/>
        <v>305.88235294117646</v>
      </c>
      <c r="BS70" s="598">
        <f t="shared" si="19"/>
        <v>23.529411764705884</v>
      </c>
    </row>
    <row r="71" spans="1:71" ht="29" hidden="1" x14ac:dyDescent="0.35">
      <c r="A71" s="580">
        <v>925</v>
      </c>
      <c r="B71" s="580" t="s">
        <v>489</v>
      </c>
      <c r="C71" s="593" t="s">
        <v>590</v>
      </c>
      <c r="D71" s="593" t="s">
        <v>580</v>
      </c>
      <c r="E71" s="580">
        <v>44</v>
      </c>
      <c r="F71" s="580">
        <v>4</v>
      </c>
      <c r="G71" s="580" t="s">
        <v>500</v>
      </c>
      <c r="H71" s="580">
        <v>52.3</v>
      </c>
      <c r="I71" s="580">
        <v>20.399999999999999</v>
      </c>
      <c r="J71" s="580">
        <v>34.1</v>
      </c>
      <c r="K71" s="580">
        <v>0</v>
      </c>
      <c r="L71" s="581">
        <v>623000</v>
      </c>
      <c r="M71" s="581">
        <v>555000</v>
      </c>
      <c r="N71" s="582">
        <f>Table35[[#This Row],[Total Income]]-Table35[[#This Row],[Total Expenditure]]</f>
        <v>68000</v>
      </c>
      <c r="O71" s="581">
        <v>0</v>
      </c>
      <c r="Z71" s="581">
        <v>481000</v>
      </c>
      <c r="AA71" s="595">
        <f>M71-Z71-Table35[[#This Row],[Maintenance &amp; Improvement]]-Table35[[#This Row],[Cleaning &amp; Caretaking]]-Table35[[#This Row],[Catering Supply]]</f>
        <v>47000</v>
      </c>
      <c r="AB71" s="581">
        <v>9000</v>
      </c>
      <c r="AC71" s="594">
        <v>9000</v>
      </c>
      <c r="AD71" s="594">
        <v>1000</v>
      </c>
      <c r="AE71" s="594">
        <v>0</v>
      </c>
      <c r="AF71" s="594">
        <v>0</v>
      </c>
      <c r="AG71" s="581">
        <v>10000</v>
      </c>
      <c r="AH71" s="581">
        <v>17000</v>
      </c>
      <c r="AI71" s="596">
        <v>0</v>
      </c>
      <c r="AJ71" s="594">
        <v>17000</v>
      </c>
      <c r="AK71" s="594">
        <v>1000</v>
      </c>
      <c r="AL71" s="594">
        <v>1000</v>
      </c>
      <c r="AM71" s="594">
        <v>9000</v>
      </c>
      <c r="AN71" s="594">
        <v>0</v>
      </c>
      <c r="AO71" s="594">
        <v>5000</v>
      </c>
      <c r="AP71" s="581">
        <v>33000</v>
      </c>
      <c r="AQ71" s="594">
        <v>18000</v>
      </c>
      <c r="AR71" s="594">
        <v>5000</v>
      </c>
      <c r="AS71" s="594">
        <v>0</v>
      </c>
      <c r="AT71" s="594">
        <v>7000</v>
      </c>
      <c r="AU71" s="581">
        <v>31000</v>
      </c>
      <c r="AV71" s="594">
        <v>18000</v>
      </c>
      <c r="AW71" s="594">
        <v>5000</v>
      </c>
      <c r="AX71" s="594">
        <v>0</v>
      </c>
      <c r="AY71" s="581">
        <v>23000</v>
      </c>
      <c r="AZ71" s="594">
        <v>1000</v>
      </c>
      <c r="BA71" s="594">
        <v>0</v>
      </c>
      <c r="BB71" s="581">
        <v>1000</v>
      </c>
      <c r="BC71" s="597">
        <f>Table35[[#This Row],[Total Expenditure]]/Table35[[#This Row],[Number of pupils (FTE)]]</f>
        <v>12613.636363636364</v>
      </c>
      <c r="BD71" s="598">
        <f>Table35[[#This Row],[Total Staff Costs]]/Table35[[#This Row],[Number of pupils (FTE)]]</f>
        <v>10931.818181818182</v>
      </c>
      <c r="BE71" s="598">
        <f>Table35[[#This Row],[Teaching staff]]/Table35[[#This Row],[Number of teachers in academy (FTE)]]</f>
        <v>0</v>
      </c>
      <c r="BF71" s="599">
        <f>Table35[[#This Row],[Number of pupils (FTE)]]/Table35[[#This Row],[Number of teachers in academy (FTE)]]</f>
        <v>11</v>
      </c>
      <c r="BG71" s="600">
        <f t="shared" si="10"/>
        <v>1068.1818181818182</v>
      </c>
      <c r="BH71" s="598">
        <f>Table35[[#This Row],[Premises Costs]]/Table35[[#This Row],[Number of pupils (FTE)]]</f>
        <v>227.27272727272728</v>
      </c>
      <c r="BI71" s="598">
        <f>Table35[[#This Row],[Maintenance &amp; Improvement Costs]]/Table35[[#This Row],[Number of pupils (FTE)]]</f>
        <v>204.54545454545453</v>
      </c>
      <c r="BJ71" s="598" t="e">
        <f>#REF!/E71</f>
        <v>#REF!</v>
      </c>
      <c r="BK71" s="598">
        <f t="shared" si="11"/>
        <v>22.727272727272727</v>
      </c>
      <c r="BL71" s="598">
        <f t="shared" si="12"/>
        <v>22.727272727272727</v>
      </c>
      <c r="BM71" s="598">
        <f t="shared" si="13"/>
        <v>204.54545454545453</v>
      </c>
      <c r="BN71" s="598">
        <f t="shared" si="14"/>
        <v>409.09090909090907</v>
      </c>
      <c r="BO71" s="598">
        <f t="shared" si="15"/>
        <v>113.63636363636364</v>
      </c>
      <c r="BP71" s="598">
        <f t="shared" si="16"/>
        <v>159.09090909090909</v>
      </c>
      <c r="BQ71" s="598">
        <f t="shared" si="17"/>
        <v>704.5454545454545</v>
      </c>
      <c r="BR71" s="598">
        <f t="shared" si="18"/>
        <v>522.72727272727275</v>
      </c>
      <c r="BS71" s="598">
        <f t="shared" si="19"/>
        <v>22.727272727272727</v>
      </c>
    </row>
    <row r="72" spans="1:71" ht="29" hidden="1" x14ac:dyDescent="0.35">
      <c r="A72" s="580">
        <v>925</v>
      </c>
      <c r="B72" s="580" t="s">
        <v>489</v>
      </c>
      <c r="C72" s="593" t="s">
        <v>591</v>
      </c>
      <c r="D72" s="593" t="s">
        <v>592</v>
      </c>
      <c r="E72" s="580">
        <v>104</v>
      </c>
      <c r="F72" s="580">
        <v>6.28</v>
      </c>
      <c r="G72" s="580" t="s">
        <v>500</v>
      </c>
      <c r="H72" s="580">
        <v>22.1</v>
      </c>
      <c r="I72" s="580">
        <v>3.9</v>
      </c>
      <c r="J72" s="580">
        <v>9.6</v>
      </c>
      <c r="K72" s="580">
        <v>0</v>
      </c>
      <c r="L72" s="581">
        <v>758000</v>
      </c>
      <c r="M72" s="581">
        <v>669000</v>
      </c>
      <c r="N72" s="582">
        <f>Table35[[#This Row],[Total Income]]-Table35[[#This Row],[Total Expenditure]]</f>
        <v>89000</v>
      </c>
      <c r="O72" s="581">
        <v>0</v>
      </c>
      <c r="Z72" s="581">
        <v>553000</v>
      </c>
      <c r="AA72" s="595">
        <f>M72-Z72-Table35[[#This Row],[Maintenance &amp; Improvement]]-Table35[[#This Row],[Cleaning &amp; Caretaking]]-Table35[[#This Row],[Catering Supply]]</f>
        <v>63000</v>
      </c>
      <c r="AB72" s="581">
        <v>4000</v>
      </c>
      <c r="AC72" s="594">
        <v>4000</v>
      </c>
      <c r="AD72" s="594">
        <v>14000</v>
      </c>
      <c r="AE72" s="594">
        <v>0</v>
      </c>
      <c r="AF72" s="594">
        <v>0</v>
      </c>
      <c r="AG72" s="581">
        <v>18000</v>
      </c>
      <c r="AH72" s="581">
        <v>35000</v>
      </c>
      <c r="AI72" s="596">
        <v>0</v>
      </c>
      <c r="AJ72" s="594">
        <v>35000</v>
      </c>
      <c r="AK72" s="594">
        <v>1000</v>
      </c>
      <c r="AL72" s="594">
        <v>3000</v>
      </c>
      <c r="AM72" s="594">
        <v>9000</v>
      </c>
      <c r="AN72" s="594">
        <v>2000</v>
      </c>
      <c r="AO72" s="594">
        <v>0</v>
      </c>
      <c r="AP72" s="581">
        <v>50000</v>
      </c>
      <c r="AQ72" s="594">
        <v>15000</v>
      </c>
      <c r="AR72" s="594">
        <v>18000</v>
      </c>
      <c r="AS72" s="594">
        <v>0</v>
      </c>
      <c r="AT72" s="594">
        <v>7000</v>
      </c>
      <c r="AU72" s="581">
        <v>48000</v>
      </c>
      <c r="AV72" s="594">
        <v>15000</v>
      </c>
      <c r="AW72" s="594">
        <v>18000</v>
      </c>
      <c r="AX72" s="594">
        <v>0</v>
      </c>
      <c r="AY72" s="581">
        <v>33000</v>
      </c>
      <c r="AZ72" s="594">
        <v>8000</v>
      </c>
      <c r="BA72" s="594">
        <v>0</v>
      </c>
      <c r="BB72" s="581">
        <v>8000</v>
      </c>
      <c r="BC72" s="597">
        <f>Table35[[#This Row],[Total Expenditure]]/Table35[[#This Row],[Number of pupils (FTE)]]</f>
        <v>6432.6923076923076</v>
      </c>
      <c r="BD72" s="598">
        <f>Table35[[#This Row],[Total Staff Costs]]/Table35[[#This Row],[Number of pupils (FTE)]]</f>
        <v>5317.3076923076924</v>
      </c>
      <c r="BE72" s="598">
        <f>Table35[[#This Row],[Teaching staff]]/Table35[[#This Row],[Number of teachers in academy (FTE)]]</f>
        <v>0</v>
      </c>
      <c r="BF72" s="599">
        <f>Table35[[#This Row],[Number of pupils (FTE)]]/Table35[[#This Row],[Number of teachers in academy (FTE)]]</f>
        <v>16.560509554140125</v>
      </c>
      <c r="BG72" s="600">
        <f t="shared" si="10"/>
        <v>605.76923076923072</v>
      </c>
      <c r="BH72" s="598">
        <f>Table35[[#This Row],[Premises Costs]]/Table35[[#This Row],[Number of pupils (FTE)]]</f>
        <v>173.07692307692307</v>
      </c>
      <c r="BI72" s="598">
        <f>Table35[[#This Row],[Maintenance &amp; Improvement Costs]]/Table35[[#This Row],[Number of pupils (FTE)]]</f>
        <v>38.46153846153846</v>
      </c>
      <c r="BJ72" s="598" t="e">
        <f>#REF!/E72</f>
        <v>#REF!</v>
      </c>
      <c r="BK72" s="598">
        <f t="shared" si="11"/>
        <v>9.615384615384615</v>
      </c>
      <c r="BL72" s="598">
        <f t="shared" si="12"/>
        <v>28.846153846153847</v>
      </c>
      <c r="BM72" s="598">
        <f t="shared" si="13"/>
        <v>86.538461538461533</v>
      </c>
      <c r="BN72" s="598">
        <f t="shared" si="14"/>
        <v>144.23076923076923</v>
      </c>
      <c r="BO72" s="598">
        <f t="shared" si="15"/>
        <v>173.07692307692307</v>
      </c>
      <c r="BP72" s="598">
        <f t="shared" si="16"/>
        <v>67.307692307692307</v>
      </c>
      <c r="BQ72" s="598">
        <f t="shared" si="17"/>
        <v>461.53846153846155</v>
      </c>
      <c r="BR72" s="598">
        <f t="shared" si="18"/>
        <v>317.30769230769232</v>
      </c>
      <c r="BS72" s="598">
        <f t="shared" si="19"/>
        <v>76.92307692307692</v>
      </c>
    </row>
    <row r="73" spans="1:71" ht="29" hidden="1" x14ac:dyDescent="0.35">
      <c r="A73" s="580">
        <v>925</v>
      </c>
      <c r="B73" s="580" t="s">
        <v>489</v>
      </c>
      <c r="C73" s="593" t="s">
        <v>593</v>
      </c>
      <c r="D73" s="593" t="s">
        <v>499</v>
      </c>
      <c r="E73" s="580">
        <v>295</v>
      </c>
      <c r="F73" s="580">
        <v>13.79</v>
      </c>
      <c r="G73" s="580" t="s">
        <v>500</v>
      </c>
      <c r="H73" s="580">
        <v>45.2</v>
      </c>
      <c r="I73" s="580">
        <v>1</v>
      </c>
      <c r="J73" s="580">
        <v>8.9</v>
      </c>
      <c r="K73" s="580">
        <v>0</v>
      </c>
      <c r="L73" s="581">
        <v>2196000</v>
      </c>
      <c r="M73" s="581">
        <v>1889000</v>
      </c>
      <c r="N73" s="582">
        <f>Table35[[#This Row],[Total Income]]-Table35[[#This Row],[Total Expenditure]]</f>
        <v>307000</v>
      </c>
      <c r="O73" s="581">
        <v>173000</v>
      </c>
      <c r="Z73" s="581">
        <v>1572000</v>
      </c>
      <c r="AA73" s="595">
        <f>M73-Z73-Table35[[#This Row],[Maintenance &amp; Improvement]]-Table35[[#This Row],[Cleaning &amp; Caretaking]]-Table35[[#This Row],[Catering Supply]]</f>
        <v>152000</v>
      </c>
      <c r="AB73" s="581">
        <v>24000</v>
      </c>
      <c r="AC73" s="594">
        <v>24000</v>
      </c>
      <c r="AD73" s="594">
        <v>14000</v>
      </c>
      <c r="AE73" s="594">
        <v>0</v>
      </c>
      <c r="AF73" s="594">
        <v>0</v>
      </c>
      <c r="AG73" s="581">
        <v>38000</v>
      </c>
      <c r="AH73" s="581">
        <v>127000</v>
      </c>
      <c r="AI73" s="596">
        <v>0</v>
      </c>
      <c r="AJ73" s="594">
        <v>127000</v>
      </c>
      <c r="AK73" s="594">
        <v>4000</v>
      </c>
      <c r="AL73" s="594">
        <v>7000</v>
      </c>
      <c r="AM73" s="594">
        <v>37000</v>
      </c>
      <c r="AN73" s="594">
        <v>9000</v>
      </c>
      <c r="AO73" s="594">
        <v>31000</v>
      </c>
      <c r="AP73" s="581">
        <v>215000</v>
      </c>
      <c r="AQ73" s="594">
        <v>40000</v>
      </c>
      <c r="AR73" s="594">
        <v>3000</v>
      </c>
      <c r="AS73" s="594">
        <v>0</v>
      </c>
      <c r="AT73" s="594">
        <v>0</v>
      </c>
      <c r="AU73" s="581">
        <v>64000</v>
      </c>
      <c r="AV73" s="594">
        <v>40000</v>
      </c>
      <c r="AW73" s="594">
        <v>3000</v>
      </c>
      <c r="AX73" s="594">
        <v>0</v>
      </c>
      <c r="AY73" s="581">
        <v>43000</v>
      </c>
      <c r="AZ73" s="594">
        <v>18000</v>
      </c>
      <c r="BA73" s="594">
        <v>3000</v>
      </c>
      <c r="BB73" s="581">
        <v>21000</v>
      </c>
      <c r="BC73" s="597">
        <f>Table35[[#This Row],[Total Expenditure]]/Table35[[#This Row],[Number of pupils (FTE)]]</f>
        <v>6403.3898305084749</v>
      </c>
      <c r="BD73" s="598">
        <f>Table35[[#This Row],[Total Staff Costs]]/Table35[[#This Row],[Number of pupils (FTE)]]</f>
        <v>5328.8135593220341</v>
      </c>
      <c r="BE73" s="598">
        <f>Table35[[#This Row],[Teaching staff]]/Table35[[#This Row],[Number of teachers in academy (FTE)]]</f>
        <v>0</v>
      </c>
      <c r="BF73" s="599">
        <f>Table35[[#This Row],[Number of pupils (FTE)]]/Table35[[#This Row],[Number of teachers in academy (FTE)]]</f>
        <v>21.392313270485861</v>
      </c>
      <c r="BG73" s="600">
        <f t="shared" si="10"/>
        <v>515.25423728813564</v>
      </c>
      <c r="BH73" s="598">
        <f>Table35[[#This Row],[Premises Costs]]/Table35[[#This Row],[Number of pupils (FTE)]]</f>
        <v>128.81355932203391</v>
      </c>
      <c r="BI73" s="598">
        <f>Table35[[#This Row],[Maintenance &amp; Improvement Costs]]/Table35[[#This Row],[Number of pupils (FTE)]]</f>
        <v>81.355932203389827</v>
      </c>
      <c r="BJ73" s="598" t="e">
        <f>#REF!/E73</f>
        <v>#REF!</v>
      </c>
      <c r="BK73" s="598">
        <f t="shared" si="11"/>
        <v>13.559322033898304</v>
      </c>
      <c r="BL73" s="598">
        <f t="shared" si="12"/>
        <v>23.728813559322035</v>
      </c>
      <c r="BM73" s="598">
        <f t="shared" si="13"/>
        <v>125.42372881355932</v>
      </c>
      <c r="BN73" s="598">
        <f t="shared" si="14"/>
        <v>135.59322033898306</v>
      </c>
      <c r="BO73" s="598">
        <f t="shared" si="15"/>
        <v>10.169491525423728</v>
      </c>
      <c r="BP73" s="598">
        <f t="shared" si="16"/>
        <v>0</v>
      </c>
      <c r="BQ73" s="598">
        <f t="shared" si="17"/>
        <v>216.94915254237287</v>
      </c>
      <c r="BR73" s="598">
        <f t="shared" si="18"/>
        <v>145.76271186440678</v>
      </c>
      <c r="BS73" s="598">
        <f t="shared" si="19"/>
        <v>71.186440677966104</v>
      </c>
    </row>
    <row r="74" spans="1:71" ht="29" hidden="1" x14ac:dyDescent="0.35">
      <c r="A74" s="580">
        <v>925</v>
      </c>
      <c r="B74" s="580" t="s">
        <v>489</v>
      </c>
      <c r="C74" s="593" t="s">
        <v>594</v>
      </c>
      <c r="D74" s="593" t="s">
        <v>499</v>
      </c>
      <c r="E74" s="580">
        <v>261</v>
      </c>
      <c r="F74" s="580">
        <v>13.09</v>
      </c>
      <c r="G74" s="580" t="s">
        <v>500</v>
      </c>
      <c r="H74" s="580">
        <v>48.3</v>
      </c>
      <c r="I74" s="580">
        <v>3.1</v>
      </c>
      <c r="J74" s="580">
        <v>16.5</v>
      </c>
      <c r="K74" s="580">
        <v>0</v>
      </c>
      <c r="L74" s="581">
        <v>1945000</v>
      </c>
      <c r="M74" s="581">
        <v>1777000</v>
      </c>
      <c r="N74" s="582">
        <f>Table35[[#This Row],[Total Income]]-Table35[[#This Row],[Total Expenditure]]</f>
        <v>168000</v>
      </c>
      <c r="O74" s="581">
        <v>-11000</v>
      </c>
      <c r="Z74" s="581">
        <v>1412000</v>
      </c>
      <c r="AA74" s="595">
        <f>M74-Z74-Table35[[#This Row],[Maintenance &amp; Improvement]]-Table35[[#This Row],[Cleaning &amp; Caretaking]]-Table35[[#This Row],[Catering Supply]]</f>
        <v>207000</v>
      </c>
      <c r="AB74" s="581">
        <v>22000</v>
      </c>
      <c r="AC74" s="594">
        <v>22000</v>
      </c>
      <c r="AD74" s="594">
        <v>14000</v>
      </c>
      <c r="AE74" s="594">
        <v>0</v>
      </c>
      <c r="AF74" s="594">
        <v>0</v>
      </c>
      <c r="AG74" s="581">
        <v>36000</v>
      </c>
      <c r="AH74" s="581">
        <v>122000</v>
      </c>
      <c r="AI74" s="596">
        <v>0</v>
      </c>
      <c r="AJ74" s="594">
        <v>122000</v>
      </c>
      <c r="AK74" s="594">
        <v>6000</v>
      </c>
      <c r="AL74" s="594">
        <v>11000</v>
      </c>
      <c r="AM74" s="594">
        <v>69000</v>
      </c>
      <c r="AN74" s="594">
        <v>8000</v>
      </c>
      <c r="AO74" s="594">
        <v>25000</v>
      </c>
      <c r="AP74" s="581">
        <v>241000</v>
      </c>
      <c r="AQ74" s="594">
        <v>55000</v>
      </c>
      <c r="AR74" s="594">
        <v>2000</v>
      </c>
      <c r="AS74" s="594">
        <v>0</v>
      </c>
      <c r="AT74" s="594">
        <v>0</v>
      </c>
      <c r="AU74" s="581">
        <v>88000</v>
      </c>
      <c r="AV74" s="594">
        <v>55000</v>
      </c>
      <c r="AW74" s="594">
        <v>2000</v>
      </c>
      <c r="AX74" s="594">
        <v>0</v>
      </c>
      <c r="AY74" s="581">
        <v>57000</v>
      </c>
      <c r="AZ74" s="594">
        <v>29000</v>
      </c>
      <c r="BA74" s="594">
        <v>2000</v>
      </c>
      <c r="BB74" s="581">
        <v>31000</v>
      </c>
      <c r="BC74" s="597">
        <f>Table35[[#This Row],[Total Expenditure]]/Table35[[#This Row],[Number of pupils (FTE)]]</f>
        <v>6808.4291187739464</v>
      </c>
      <c r="BD74" s="598">
        <f>Table35[[#This Row],[Total Staff Costs]]/Table35[[#This Row],[Number of pupils (FTE)]]</f>
        <v>5409.961685823755</v>
      </c>
      <c r="BE74" s="598">
        <f>Table35[[#This Row],[Teaching staff]]/Table35[[#This Row],[Number of teachers in academy (FTE)]]</f>
        <v>0</v>
      </c>
      <c r="BF74" s="599">
        <f>Table35[[#This Row],[Number of pupils (FTE)]]/Table35[[#This Row],[Number of teachers in academy (FTE)]]</f>
        <v>19.938884644766997</v>
      </c>
      <c r="BG74" s="600">
        <f t="shared" si="10"/>
        <v>793.10344827586209</v>
      </c>
      <c r="BH74" s="598">
        <f>Table35[[#This Row],[Premises Costs]]/Table35[[#This Row],[Number of pupils (FTE)]]</f>
        <v>137.93103448275863</v>
      </c>
      <c r="BI74" s="598">
        <f>Table35[[#This Row],[Maintenance &amp; Improvement Costs]]/Table35[[#This Row],[Number of pupils (FTE)]]</f>
        <v>84.291187739463595</v>
      </c>
      <c r="BJ74" s="598" t="e">
        <f>#REF!/E74</f>
        <v>#REF!</v>
      </c>
      <c r="BK74" s="598">
        <f t="shared" si="11"/>
        <v>22.988505747126435</v>
      </c>
      <c r="BL74" s="598">
        <f t="shared" si="12"/>
        <v>42.145593869731798</v>
      </c>
      <c r="BM74" s="598">
        <f t="shared" si="13"/>
        <v>264.36781609195401</v>
      </c>
      <c r="BN74" s="598">
        <f t="shared" si="14"/>
        <v>210.727969348659</v>
      </c>
      <c r="BO74" s="598">
        <f t="shared" si="15"/>
        <v>7.6628352490421454</v>
      </c>
      <c r="BP74" s="598">
        <f t="shared" si="16"/>
        <v>0</v>
      </c>
      <c r="BQ74" s="598">
        <f t="shared" si="17"/>
        <v>337.16475095785438</v>
      </c>
      <c r="BR74" s="598">
        <f t="shared" si="18"/>
        <v>218.39080459770116</v>
      </c>
      <c r="BS74" s="598">
        <f t="shared" si="19"/>
        <v>118.77394636015326</v>
      </c>
    </row>
    <row r="75" spans="1:71" ht="29" hidden="1" x14ac:dyDescent="0.35">
      <c r="A75" s="580">
        <v>925</v>
      </c>
      <c r="B75" s="580" t="s">
        <v>489</v>
      </c>
      <c r="C75" s="593" t="s">
        <v>595</v>
      </c>
      <c r="D75" s="593" t="s">
        <v>555</v>
      </c>
      <c r="E75" s="580">
        <v>198</v>
      </c>
      <c r="F75" s="580">
        <v>12.2</v>
      </c>
      <c r="G75" s="580" t="s">
        <v>500</v>
      </c>
      <c r="H75" s="580">
        <v>42.7</v>
      </c>
      <c r="I75" s="580">
        <v>4.5</v>
      </c>
      <c r="J75" s="580">
        <v>19.600000000000001</v>
      </c>
      <c r="K75" s="580">
        <v>0</v>
      </c>
      <c r="L75" s="581">
        <v>1610000</v>
      </c>
      <c r="M75" s="581">
        <v>1590000</v>
      </c>
      <c r="N75" s="582">
        <f>Table35[[#This Row],[Total Income]]-Table35[[#This Row],[Total Expenditure]]</f>
        <v>20000</v>
      </c>
      <c r="O75" s="581">
        <v>0</v>
      </c>
      <c r="Z75" s="581">
        <v>1283000</v>
      </c>
      <c r="AA75" s="595">
        <f>M75-Z75-Table35[[#This Row],[Maintenance &amp; Improvement]]-Table35[[#This Row],[Cleaning &amp; Caretaking]]-Table35[[#This Row],[Catering Supply]]</f>
        <v>211000</v>
      </c>
      <c r="AB75" s="581">
        <v>11000</v>
      </c>
      <c r="AC75" s="594">
        <v>11000</v>
      </c>
      <c r="AD75" s="594">
        <v>15000</v>
      </c>
      <c r="AE75" s="594">
        <v>42000</v>
      </c>
      <c r="AF75" s="594">
        <v>0</v>
      </c>
      <c r="AG75" s="581">
        <v>68000</v>
      </c>
      <c r="AH75" s="581">
        <v>70000</v>
      </c>
      <c r="AI75" s="596">
        <v>0</v>
      </c>
      <c r="AJ75" s="594">
        <v>70000</v>
      </c>
      <c r="AK75" s="594">
        <v>4000</v>
      </c>
      <c r="AL75" s="594">
        <v>5000</v>
      </c>
      <c r="AM75" s="594">
        <v>33000</v>
      </c>
      <c r="AN75" s="594">
        <v>5000</v>
      </c>
      <c r="AO75" s="594">
        <v>2000</v>
      </c>
      <c r="AP75" s="581">
        <v>119000</v>
      </c>
      <c r="AQ75" s="594">
        <v>48000</v>
      </c>
      <c r="AR75" s="594">
        <v>4000</v>
      </c>
      <c r="AS75" s="594">
        <v>0</v>
      </c>
      <c r="AT75" s="594">
        <v>27000</v>
      </c>
      <c r="AU75" s="581">
        <v>120000</v>
      </c>
      <c r="AV75" s="594">
        <v>48000</v>
      </c>
      <c r="AW75" s="594">
        <v>4000</v>
      </c>
      <c r="AX75" s="594">
        <v>0</v>
      </c>
      <c r="AY75" s="581">
        <v>52000</v>
      </c>
      <c r="AZ75" s="594">
        <v>36000</v>
      </c>
      <c r="BA75" s="594">
        <v>5000</v>
      </c>
      <c r="BB75" s="581">
        <v>41000</v>
      </c>
      <c r="BC75" s="597">
        <f>Table35[[#This Row],[Total Expenditure]]/Table35[[#This Row],[Number of pupils (FTE)]]</f>
        <v>8030.30303030303</v>
      </c>
      <c r="BD75" s="598">
        <f>Table35[[#This Row],[Total Staff Costs]]/Table35[[#This Row],[Number of pupils (FTE)]]</f>
        <v>6479.7979797979797</v>
      </c>
      <c r="BE75" s="598">
        <f>Table35[[#This Row],[Teaching staff]]/Table35[[#This Row],[Number of teachers in academy (FTE)]]</f>
        <v>0</v>
      </c>
      <c r="BF75" s="599">
        <f>Table35[[#This Row],[Number of pupils (FTE)]]/Table35[[#This Row],[Number of teachers in academy (FTE)]]</f>
        <v>16.229508196721312</v>
      </c>
      <c r="BG75" s="600">
        <f t="shared" si="10"/>
        <v>1065.6565656565656</v>
      </c>
      <c r="BH75" s="598">
        <f>Table35[[#This Row],[Premises Costs]]/Table35[[#This Row],[Number of pupils (FTE)]]</f>
        <v>343.43434343434342</v>
      </c>
      <c r="BI75" s="598">
        <f>Table35[[#This Row],[Maintenance &amp; Improvement Costs]]/Table35[[#This Row],[Number of pupils (FTE)]]</f>
        <v>55.555555555555557</v>
      </c>
      <c r="BJ75" s="598" t="e">
        <f>#REF!/E75</f>
        <v>#REF!</v>
      </c>
      <c r="BK75" s="598">
        <f t="shared" si="11"/>
        <v>20.202020202020201</v>
      </c>
      <c r="BL75" s="598">
        <f t="shared" si="12"/>
        <v>25.252525252525253</v>
      </c>
      <c r="BM75" s="598">
        <f t="shared" si="13"/>
        <v>166.66666666666666</v>
      </c>
      <c r="BN75" s="598">
        <f t="shared" si="14"/>
        <v>242.42424242424244</v>
      </c>
      <c r="BO75" s="598">
        <f t="shared" si="15"/>
        <v>20.202020202020201</v>
      </c>
      <c r="BP75" s="598">
        <f t="shared" si="16"/>
        <v>136.36363636363637</v>
      </c>
      <c r="BQ75" s="598">
        <f t="shared" si="17"/>
        <v>606.06060606060601</v>
      </c>
      <c r="BR75" s="598">
        <f t="shared" si="18"/>
        <v>262.62626262626264</v>
      </c>
      <c r="BS75" s="598">
        <f t="shared" si="19"/>
        <v>207.07070707070707</v>
      </c>
    </row>
    <row r="76" spans="1:71" hidden="1" x14ac:dyDescent="0.35">
      <c r="A76" s="580">
        <v>925</v>
      </c>
      <c r="B76" s="580" t="s">
        <v>489</v>
      </c>
      <c r="C76" s="593" t="s">
        <v>596</v>
      </c>
      <c r="D76" s="593" t="s">
        <v>592</v>
      </c>
      <c r="E76" s="580">
        <v>69</v>
      </c>
      <c r="F76" s="580">
        <v>4</v>
      </c>
      <c r="G76" s="580" t="s">
        <v>500</v>
      </c>
      <c r="H76" s="580">
        <v>24.6</v>
      </c>
      <c r="I76" s="580">
        <v>5.8</v>
      </c>
      <c r="J76" s="580">
        <v>10.1</v>
      </c>
      <c r="K76" s="580">
        <v>0</v>
      </c>
      <c r="L76" s="581">
        <v>621000</v>
      </c>
      <c r="M76" s="581">
        <v>557000</v>
      </c>
      <c r="N76" s="582">
        <f>Table35[[#This Row],[Total Income]]-Table35[[#This Row],[Total Expenditure]]</f>
        <v>64000</v>
      </c>
      <c r="O76" s="581">
        <v>0</v>
      </c>
      <c r="Z76" s="581">
        <v>459000</v>
      </c>
      <c r="AA76" s="595">
        <f>M76-Z76-Table35[[#This Row],[Maintenance &amp; Improvement]]-Table35[[#This Row],[Cleaning &amp; Caretaking]]-Table35[[#This Row],[Catering Supply]]</f>
        <v>63000</v>
      </c>
      <c r="AB76" s="581">
        <v>3000</v>
      </c>
      <c r="AC76" s="594">
        <v>3000</v>
      </c>
      <c r="AD76" s="594">
        <v>9000</v>
      </c>
      <c r="AE76" s="594">
        <v>0</v>
      </c>
      <c r="AF76" s="594">
        <v>0</v>
      </c>
      <c r="AG76" s="581">
        <v>12000</v>
      </c>
      <c r="AH76" s="581">
        <v>23000</v>
      </c>
      <c r="AI76" s="596">
        <v>0</v>
      </c>
      <c r="AJ76" s="594">
        <v>23000</v>
      </c>
      <c r="AK76" s="594">
        <v>1000</v>
      </c>
      <c r="AL76" s="594">
        <v>3000</v>
      </c>
      <c r="AM76" s="594">
        <v>7000</v>
      </c>
      <c r="AN76" s="594">
        <v>2000</v>
      </c>
      <c r="AO76" s="594">
        <v>0</v>
      </c>
      <c r="AP76" s="581">
        <v>36000</v>
      </c>
      <c r="AQ76" s="594">
        <v>18000</v>
      </c>
      <c r="AR76" s="594">
        <v>17000</v>
      </c>
      <c r="AS76" s="594">
        <v>0</v>
      </c>
      <c r="AT76" s="594">
        <v>9000</v>
      </c>
      <c r="AU76" s="581">
        <v>50000</v>
      </c>
      <c r="AV76" s="594">
        <v>18000</v>
      </c>
      <c r="AW76" s="594">
        <v>17000</v>
      </c>
      <c r="AX76" s="594">
        <v>0</v>
      </c>
      <c r="AY76" s="581">
        <v>35000</v>
      </c>
      <c r="AZ76" s="594">
        <v>6000</v>
      </c>
      <c r="BA76" s="594">
        <v>0</v>
      </c>
      <c r="BB76" s="581">
        <v>6000</v>
      </c>
      <c r="BC76" s="597">
        <f>Table35[[#This Row],[Total Expenditure]]/Table35[[#This Row],[Number of pupils (FTE)]]</f>
        <v>8072.463768115942</v>
      </c>
      <c r="BD76" s="598">
        <f>Table35[[#This Row],[Total Staff Costs]]/Table35[[#This Row],[Number of pupils (FTE)]]</f>
        <v>6652.173913043478</v>
      </c>
      <c r="BE76" s="598">
        <f>Table35[[#This Row],[Teaching staff]]/Table35[[#This Row],[Number of teachers in academy (FTE)]]</f>
        <v>0</v>
      </c>
      <c r="BF76" s="599">
        <f>Table35[[#This Row],[Number of pupils (FTE)]]/Table35[[#This Row],[Number of teachers in academy (FTE)]]</f>
        <v>17.25</v>
      </c>
      <c r="BG76" s="600">
        <f t="shared" si="10"/>
        <v>913.04347826086962</v>
      </c>
      <c r="BH76" s="598">
        <f>Table35[[#This Row],[Premises Costs]]/Table35[[#This Row],[Number of pupils (FTE)]]</f>
        <v>173.91304347826087</v>
      </c>
      <c r="BI76" s="598">
        <f>Table35[[#This Row],[Maintenance &amp; Improvement Costs]]/Table35[[#This Row],[Number of pupils (FTE)]]</f>
        <v>43.478260869565219</v>
      </c>
      <c r="BJ76" s="598" t="e">
        <f>#REF!/E76</f>
        <v>#REF!</v>
      </c>
      <c r="BK76" s="598">
        <f t="shared" si="11"/>
        <v>14.492753623188406</v>
      </c>
      <c r="BL76" s="598">
        <f t="shared" si="12"/>
        <v>43.478260869565219</v>
      </c>
      <c r="BM76" s="598">
        <f t="shared" si="13"/>
        <v>101.44927536231884</v>
      </c>
      <c r="BN76" s="598">
        <f t="shared" si="14"/>
        <v>260.86956521739131</v>
      </c>
      <c r="BO76" s="598">
        <f t="shared" si="15"/>
        <v>246.37681159420291</v>
      </c>
      <c r="BP76" s="598">
        <f t="shared" si="16"/>
        <v>130.43478260869566</v>
      </c>
      <c r="BQ76" s="598">
        <f t="shared" si="17"/>
        <v>724.63768115942025</v>
      </c>
      <c r="BR76" s="598">
        <f t="shared" si="18"/>
        <v>507.24637681159419</v>
      </c>
      <c r="BS76" s="598">
        <f t="shared" si="19"/>
        <v>86.956521739130437</v>
      </c>
    </row>
    <row r="77" spans="1:71" ht="29" hidden="1" x14ac:dyDescent="0.35">
      <c r="A77" s="580">
        <v>925</v>
      </c>
      <c r="B77" s="580" t="s">
        <v>489</v>
      </c>
      <c r="C77" s="593" t="s">
        <v>597</v>
      </c>
      <c r="D77" s="593" t="s">
        <v>510</v>
      </c>
      <c r="E77" s="580">
        <v>206</v>
      </c>
      <c r="F77" s="580">
        <v>12.18</v>
      </c>
      <c r="G77" s="580" t="s">
        <v>500</v>
      </c>
      <c r="H77" s="580">
        <v>64.599999999999994</v>
      </c>
      <c r="I77" s="580">
        <v>3.9</v>
      </c>
      <c r="J77" s="580">
        <v>17</v>
      </c>
      <c r="K77" s="580">
        <v>0</v>
      </c>
      <c r="L77" s="581">
        <v>1611000</v>
      </c>
      <c r="M77" s="581">
        <v>1615000</v>
      </c>
      <c r="N77" s="582">
        <f>Table35[[#This Row],[Total Income]]-Table35[[#This Row],[Total Expenditure]]</f>
        <v>-4000</v>
      </c>
      <c r="O77" s="581">
        <v>0</v>
      </c>
      <c r="Z77" s="581">
        <v>912000</v>
      </c>
      <c r="AA77" s="595">
        <f>M77-Z77-Table35[[#This Row],[Maintenance &amp; Improvement]]-Table35[[#This Row],[Cleaning &amp; Caretaking]]-Table35[[#This Row],[Catering Supply]]</f>
        <v>172000</v>
      </c>
      <c r="AB77" s="581">
        <v>429000</v>
      </c>
      <c r="AC77" s="594">
        <v>429000</v>
      </c>
      <c r="AD77" s="594">
        <v>3000</v>
      </c>
      <c r="AE77" s="594">
        <v>62000</v>
      </c>
      <c r="AF77" s="594">
        <v>0</v>
      </c>
      <c r="AG77" s="581">
        <v>494000</v>
      </c>
      <c r="AH77" s="581">
        <v>127000</v>
      </c>
      <c r="AI77" s="596">
        <v>28000</v>
      </c>
      <c r="AJ77" s="594">
        <v>99000</v>
      </c>
      <c r="AK77" s="594">
        <v>9000</v>
      </c>
      <c r="AL77" s="594">
        <v>5000</v>
      </c>
      <c r="AM77" s="594">
        <v>23000</v>
      </c>
      <c r="AN77" s="594">
        <v>5000</v>
      </c>
      <c r="AO77" s="594">
        <v>0</v>
      </c>
      <c r="AP77" s="581">
        <v>169000</v>
      </c>
      <c r="AQ77" s="594">
        <v>30000</v>
      </c>
      <c r="AR77" s="594">
        <v>4000</v>
      </c>
      <c r="AS77" s="594">
        <v>0</v>
      </c>
      <c r="AT77" s="594">
        <v>0</v>
      </c>
      <c r="AU77" s="581">
        <v>40000</v>
      </c>
      <c r="AV77" s="594">
        <v>30000</v>
      </c>
      <c r="AW77" s="594">
        <v>4000</v>
      </c>
      <c r="AX77" s="594">
        <v>0</v>
      </c>
      <c r="AY77" s="581">
        <v>34000</v>
      </c>
      <c r="AZ77" s="594">
        <v>6000</v>
      </c>
      <c r="BA77" s="594">
        <v>0</v>
      </c>
      <c r="BB77" s="581">
        <v>6000</v>
      </c>
      <c r="BC77" s="597">
        <f>Table35[[#This Row],[Total Expenditure]]/Table35[[#This Row],[Number of pupils (FTE)]]</f>
        <v>7839.8058252427181</v>
      </c>
      <c r="BD77" s="598">
        <f>Table35[[#This Row],[Total Staff Costs]]/Table35[[#This Row],[Number of pupils (FTE)]]</f>
        <v>4427.1844660194174</v>
      </c>
      <c r="BE77" s="598">
        <f>Table35[[#This Row],[Teaching staff]]/Table35[[#This Row],[Number of teachers in academy (FTE)]]</f>
        <v>0</v>
      </c>
      <c r="BF77" s="599">
        <f>Table35[[#This Row],[Number of pupils (FTE)]]/Table35[[#This Row],[Number of teachers in academy (FTE)]]</f>
        <v>16.912972085385878</v>
      </c>
      <c r="BG77" s="600">
        <f t="shared" si="10"/>
        <v>834.95145631067965</v>
      </c>
      <c r="BH77" s="598">
        <f>Table35[[#This Row],[Premises Costs]]/Table35[[#This Row],[Number of pupils (FTE)]]</f>
        <v>2398.0582524271845</v>
      </c>
      <c r="BI77" s="598">
        <f>Table35[[#This Row],[Maintenance &amp; Improvement Costs]]/Table35[[#This Row],[Number of pupils (FTE)]]</f>
        <v>2082.5242718446602</v>
      </c>
      <c r="BJ77" s="598" t="e">
        <f>#REF!/E77</f>
        <v>#REF!</v>
      </c>
      <c r="BK77" s="598">
        <f t="shared" si="11"/>
        <v>43.689320388349515</v>
      </c>
      <c r="BL77" s="598">
        <f t="shared" si="12"/>
        <v>24.271844660194176</v>
      </c>
      <c r="BM77" s="598">
        <f t="shared" si="13"/>
        <v>111.65048543689321</v>
      </c>
      <c r="BN77" s="598">
        <f t="shared" si="14"/>
        <v>145.63106796116506</v>
      </c>
      <c r="BO77" s="598">
        <f t="shared" si="15"/>
        <v>19.417475728155338</v>
      </c>
      <c r="BP77" s="598">
        <f t="shared" si="16"/>
        <v>0</v>
      </c>
      <c r="BQ77" s="598">
        <f t="shared" si="17"/>
        <v>194.17475728155341</v>
      </c>
      <c r="BR77" s="598">
        <f t="shared" si="18"/>
        <v>165.04854368932038</v>
      </c>
      <c r="BS77" s="598">
        <f t="shared" si="19"/>
        <v>29.126213592233011</v>
      </c>
    </row>
    <row r="78" spans="1:71" ht="29" hidden="1" x14ac:dyDescent="0.35">
      <c r="A78" s="580">
        <v>925</v>
      </c>
      <c r="B78" s="580" t="s">
        <v>489</v>
      </c>
      <c r="C78" s="593" t="s">
        <v>598</v>
      </c>
      <c r="D78" s="593" t="s">
        <v>599</v>
      </c>
      <c r="E78" s="580">
        <v>204</v>
      </c>
      <c r="F78" s="580">
        <v>9</v>
      </c>
      <c r="G78" s="580" t="s">
        <v>500</v>
      </c>
      <c r="H78" s="580">
        <v>39.200000000000003</v>
      </c>
      <c r="I78" s="580">
        <v>4.5999999999999996</v>
      </c>
      <c r="J78" s="580">
        <v>14.8</v>
      </c>
      <c r="K78" s="580">
        <v>0</v>
      </c>
      <c r="L78" s="581">
        <v>1682000</v>
      </c>
      <c r="M78" s="581">
        <v>1602000</v>
      </c>
      <c r="N78" s="582">
        <f>Table35[[#This Row],[Total Income]]-Table35[[#This Row],[Total Expenditure]]</f>
        <v>80000</v>
      </c>
      <c r="O78" s="581">
        <v>153000</v>
      </c>
      <c r="Z78" s="581">
        <v>1267000</v>
      </c>
      <c r="AA78" s="595">
        <f>M78-Z78-Table35[[#This Row],[Maintenance &amp; Improvement]]-Table35[[#This Row],[Cleaning &amp; Caretaking]]-Table35[[#This Row],[Catering Supply]]</f>
        <v>240000</v>
      </c>
      <c r="AB78" s="581">
        <v>3000</v>
      </c>
      <c r="AC78" s="594">
        <v>3000</v>
      </c>
      <c r="AD78" s="594">
        <v>11000</v>
      </c>
      <c r="AE78" s="594">
        <v>72000</v>
      </c>
      <c r="AF78" s="594">
        <v>0</v>
      </c>
      <c r="AG78" s="581">
        <v>86000</v>
      </c>
      <c r="AH78" s="581">
        <v>81000</v>
      </c>
      <c r="AI78" s="596">
        <v>0</v>
      </c>
      <c r="AJ78" s="594">
        <v>81000</v>
      </c>
      <c r="AK78" s="594">
        <v>1000</v>
      </c>
      <c r="AL78" s="594">
        <v>4000</v>
      </c>
      <c r="AM78" s="594">
        <v>21000</v>
      </c>
      <c r="AN78" s="594">
        <v>5000</v>
      </c>
      <c r="AO78" s="594">
        <v>6000</v>
      </c>
      <c r="AP78" s="581">
        <v>118000</v>
      </c>
      <c r="AQ78" s="594">
        <v>38000</v>
      </c>
      <c r="AR78" s="594">
        <v>9000</v>
      </c>
      <c r="AS78" s="594">
        <v>0</v>
      </c>
      <c r="AT78" s="594">
        <v>39000</v>
      </c>
      <c r="AU78" s="581">
        <v>131000</v>
      </c>
      <c r="AV78" s="594">
        <v>38000</v>
      </c>
      <c r="AW78" s="594">
        <v>9000</v>
      </c>
      <c r="AX78" s="594">
        <v>0</v>
      </c>
      <c r="AY78" s="581">
        <v>47000</v>
      </c>
      <c r="AZ78" s="594">
        <v>0</v>
      </c>
      <c r="BA78" s="594">
        <v>45000</v>
      </c>
      <c r="BB78" s="581">
        <v>45000</v>
      </c>
      <c r="BC78" s="597">
        <f>Table35[[#This Row],[Total Expenditure]]/Table35[[#This Row],[Number of pupils (FTE)]]</f>
        <v>7852.9411764705883</v>
      </c>
      <c r="BD78" s="598">
        <f>Table35[[#This Row],[Total Staff Costs]]/Table35[[#This Row],[Number of pupils (FTE)]]</f>
        <v>6210.7843137254904</v>
      </c>
      <c r="BE78" s="598">
        <f>Table35[[#This Row],[Teaching staff]]/Table35[[#This Row],[Number of teachers in academy (FTE)]]</f>
        <v>0</v>
      </c>
      <c r="BF78" s="599">
        <f>Table35[[#This Row],[Number of pupils (FTE)]]/Table35[[#This Row],[Number of teachers in academy (FTE)]]</f>
        <v>22.666666666666668</v>
      </c>
      <c r="BG78" s="600">
        <f t="shared" si="10"/>
        <v>1176.4705882352941</v>
      </c>
      <c r="BH78" s="598">
        <f>Table35[[#This Row],[Premises Costs]]/Table35[[#This Row],[Number of pupils (FTE)]]</f>
        <v>421.56862745098039</v>
      </c>
      <c r="BI78" s="598">
        <f>Table35[[#This Row],[Maintenance &amp; Improvement Costs]]/Table35[[#This Row],[Number of pupils (FTE)]]</f>
        <v>14.705882352941176</v>
      </c>
      <c r="BJ78" s="598" t="e">
        <f>#REF!/E78</f>
        <v>#REF!</v>
      </c>
      <c r="BK78" s="598">
        <f t="shared" si="11"/>
        <v>4.9019607843137258</v>
      </c>
      <c r="BL78" s="598">
        <f t="shared" si="12"/>
        <v>19.607843137254903</v>
      </c>
      <c r="BM78" s="598">
        <f t="shared" si="13"/>
        <v>102.94117647058823</v>
      </c>
      <c r="BN78" s="598">
        <f t="shared" si="14"/>
        <v>186.27450980392157</v>
      </c>
      <c r="BO78" s="598">
        <f t="shared" si="15"/>
        <v>44.117647058823529</v>
      </c>
      <c r="BP78" s="598">
        <f t="shared" si="16"/>
        <v>191.1764705882353</v>
      </c>
      <c r="BQ78" s="598">
        <f t="shared" si="17"/>
        <v>642.15686274509801</v>
      </c>
      <c r="BR78" s="598">
        <f t="shared" si="18"/>
        <v>230.39215686274511</v>
      </c>
      <c r="BS78" s="598">
        <f t="shared" si="19"/>
        <v>220.58823529411765</v>
      </c>
    </row>
    <row r="79" spans="1:71" ht="29" hidden="1" x14ac:dyDescent="0.35">
      <c r="A79" s="580">
        <v>925</v>
      </c>
      <c r="B79" s="580" t="s">
        <v>489</v>
      </c>
      <c r="C79" s="593" t="s">
        <v>600</v>
      </c>
      <c r="D79" s="593" t="s">
        <v>508</v>
      </c>
      <c r="E79" s="580">
        <v>445</v>
      </c>
      <c r="F79" s="580">
        <v>20</v>
      </c>
      <c r="G79" s="580" t="s">
        <v>500</v>
      </c>
      <c r="H79" s="580">
        <v>39.4</v>
      </c>
      <c r="I79" s="580">
        <v>1.8</v>
      </c>
      <c r="J79" s="580">
        <v>14.8</v>
      </c>
      <c r="K79" s="580">
        <v>0</v>
      </c>
      <c r="L79" s="581">
        <v>2763000</v>
      </c>
      <c r="M79" s="581">
        <v>2651000</v>
      </c>
      <c r="N79" s="582">
        <f>Table35[[#This Row],[Total Income]]-Table35[[#This Row],[Total Expenditure]]</f>
        <v>112000</v>
      </c>
      <c r="O79" s="581">
        <v>621000</v>
      </c>
      <c r="Z79" s="581">
        <v>2072000</v>
      </c>
      <c r="AA79" s="595">
        <f>M79-Z79-Table35[[#This Row],[Maintenance &amp; Improvement]]-Table35[[#This Row],[Cleaning &amp; Caretaking]]-Table35[[#This Row],[Catering Supply]]</f>
        <v>299000</v>
      </c>
      <c r="AB79" s="581">
        <v>69000</v>
      </c>
      <c r="AC79" s="594">
        <v>69000</v>
      </c>
      <c r="AD79" s="594">
        <v>39000</v>
      </c>
      <c r="AE79" s="594">
        <v>35000</v>
      </c>
      <c r="AF79" s="594">
        <v>0</v>
      </c>
      <c r="AG79" s="581">
        <v>143000</v>
      </c>
      <c r="AH79" s="581">
        <v>172000</v>
      </c>
      <c r="AI79" s="596">
        <v>0</v>
      </c>
      <c r="AJ79" s="594">
        <v>172000</v>
      </c>
      <c r="AK79" s="594">
        <v>6000</v>
      </c>
      <c r="AL79" s="594">
        <v>12000</v>
      </c>
      <c r="AM79" s="594">
        <v>40000</v>
      </c>
      <c r="AN79" s="594">
        <v>10000</v>
      </c>
      <c r="AO79" s="594">
        <v>20000</v>
      </c>
      <c r="AP79" s="581">
        <v>260000</v>
      </c>
      <c r="AQ79" s="594">
        <v>102000</v>
      </c>
      <c r="AR79" s="594">
        <v>29000</v>
      </c>
      <c r="AS79" s="594">
        <v>0</v>
      </c>
      <c r="AT79" s="594">
        <v>11000</v>
      </c>
      <c r="AU79" s="581">
        <v>175000</v>
      </c>
      <c r="AV79" s="594">
        <v>102000</v>
      </c>
      <c r="AW79" s="594">
        <v>29000</v>
      </c>
      <c r="AX79" s="594">
        <v>0</v>
      </c>
      <c r="AY79" s="581">
        <v>131000</v>
      </c>
      <c r="AZ79" s="594">
        <v>32000</v>
      </c>
      <c r="BA79" s="594">
        <v>1000</v>
      </c>
      <c r="BB79" s="581">
        <v>33000</v>
      </c>
      <c r="BC79" s="597">
        <f>Table35[[#This Row],[Total Expenditure]]/Table35[[#This Row],[Number of pupils (FTE)]]</f>
        <v>5957.303370786517</v>
      </c>
      <c r="BD79" s="598">
        <f>Table35[[#This Row],[Total Staff Costs]]/Table35[[#This Row],[Number of pupils (FTE)]]</f>
        <v>4656.1797752808989</v>
      </c>
      <c r="BE79" s="598">
        <f>Table35[[#This Row],[Teaching staff]]/Table35[[#This Row],[Number of teachers in academy (FTE)]]</f>
        <v>0</v>
      </c>
      <c r="BF79" s="599">
        <f>Table35[[#This Row],[Number of pupils (FTE)]]/Table35[[#This Row],[Number of teachers in academy (FTE)]]</f>
        <v>22.25</v>
      </c>
      <c r="BG79" s="600">
        <f t="shared" si="10"/>
        <v>671.91011235955057</v>
      </c>
      <c r="BH79" s="598">
        <f>Table35[[#This Row],[Premises Costs]]/Table35[[#This Row],[Number of pupils (FTE)]]</f>
        <v>321.34831460674155</v>
      </c>
      <c r="BI79" s="598">
        <f>Table35[[#This Row],[Maintenance &amp; Improvement Costs]]/Table35[[#This Row],[Number of pupils (FTE)]]</f>
        <v>155.0561797752809</v>
      </c>
      <c r="BJ79" s="598" t="e">
        <f>#REF!/E79</f>
        <v>#REF!</v>
      </c>
      <c r="BK79" s="598">
        <f t="shared" si="11"/>
        <v>13.48314606741573</v>
      </c>
      <c r="BL79" s="598">
        <f t="shared" si="12"/>
        <v>26.966292134831459</v>
      </c>
      <c r="BM79" s="598">
        <f t="shared" si="13"/>
        <v>89.887640449438209</v>
      </c>
      <c r="BN79" s="598">
        <f t="shared" si="14"/>
        <v>229.2134831460674</v>
      </c>
      <c r="BO79" s="598">
        <f t="shared" si="15"/>
        <v>65.168539325842701</v>
      </c>
      <c r="BP79" s="598">
        <f t="shared" si="16"/>
        <v>24.719101123595507</v>
      </c>
      <c r="BQ79" s="598">
        <f t="shared" si="17"/>
        <v>393.25842696629212</v>
      </c>
      <c r="BR79" s="598">
        <f t="shared" si="18"/>
        <v>294.38202247191009</v>
      </c>
      <c r="BS79" s="598">
        <f t="shared" si="19"/>
        <v>74.157303370786522</v>
      </c>
    </row>
    <row r="80" spans="1:71" ht="29" hidden="1" x14ac:dyDescent="0.35">
      <c r="A80" s="580">
        <v>925</v>
      </c>
      <c r="B80" s="580" t="s">
        <v>489</v>
      </c>
      <c r="C80" s="593" t="s">
        <v>601</v>
      </c>
      <c r="D80" s="593" t="s">
        <v>508</v>
      </c>
      <c r="E80" s="580">
        <v>363</v>
      </c>
      <c r="F80" s="580">
        <v>17.8</v>
      </c>
      <c r="G80" s="580" t="s">
        <v>500</v>
      </c>
      <c r="H80" s="580">
        <v>29.8</v>
      </c>
      <c r="I80" s="580">
        <v>2.5</v>
      </c>
      <c r="J80" s="580">
        <v>15.7</v>
      </c>
      <c r="K80" s="580">
        <v>0</v>
      </c>
      <c r="L80" s="581">
        <v>2455000</v>
      </c>
      <c r="M80" s="581">
        <v>2378000</v>
      </c>
      <c r="N80" s="582">
        <f>Table35[[#This Row],[Total Income]]-Table35[[#This Row],[Total Expenditure]]</f>
        <v>77000</v>
      </c>
      <c r="O80" s="581">
        <v>554000</v>
      </c>
      <c r="Z80" s="581">
        <v>1881000</v>
      </c>
      <c r="AA80" s="595">
        <f>M80-Z80-Table35[[#This Row],[Maintenance &amp; Improvement]]-Table35[[#This Row],[Cleaning &amp; Caretaking]]-Table35[[#This Row],[Catering Supply]]</f>
        <v>289000</v>
      </c>
      <c r="AB80" s="581">
        <v>47000</v>
      </c>
      <c r="AC80" s="594">
        <v>47000</v>
      </c>
      <c r="AD80" s="594">
        <v>34000</v>
      </c>
      <c r="AE80" s="594">
        <v>35000</v>
      </c>
      <c r="AF80" s="594">
        <v>0</v>
      </c>
      <c r="AG80" s="581">
        <v>116000</v>
      </c>
      <c r="AH80" s="581">
        <v>127000</v>
      </c>
      <c r="AI80" s="596">
        <v>0</v>
      </c>
      <c r="AJ80" s="594">
        <v>127000</v>
      </c>
      <c r="AK80" s="594">
        <v>3000</v>
      </c>
      <c r="AL80" s="594">
        <v>9000</v>
      </c>
      <c r="AM80" s="594">
        <v>32000</v>
      </c>
      <c r="AN80" s="594">
        <v>8000</v>
      </c>
      <c r="AO80" s="594">
        <v>12000</v>
      </c>
      <c r="AP80" s="581">
        <v>191000</v>
      </c>
      <c r="AQ80" s="594">
        <v>93000</v>
      </c>
      <c r="AR80" s="594">
        <v>66000</v>
      </c>
      <c r="AS80" s="594">
        <v>0</v>
      </c>
      <c r="AT80" s="594">
        <v>13000</v>
      </c>
      <c r="AU80" s="581">
        <v>188000</v>
      </c>
      <c r="AV80" s="594">
        <v>93000</v>
      </c>
      <c r="AW80" s="594">
        <v>66000</v>
      </c>
      <c r="AX80" s="594">
        <v>0</v>
      </c>
      <c r="AY80" s="581">
        <v>159000</v>
      </c>
      <c r="AZ80" s="594">
        <v>14000</v>
      </c>
      <c r="BA80" s="594">
        <v>2000</v>
      </c>
      <c r="BB80" s="581">
        <v>16000</v>
      </c>
      <c r="BC80" s="597">
        <f>Table35[[#This Row],[Total Expenditure]]/Table35[[#This Row],[Number of pupils (FTE)]]</f>
        <v>6550.9641873278233</v>
      </c>
      <c r="BD80" s="598">
        <f>Table35[[#This Row],[Total Staff Costs]]/Table35[[#This Row],[Number of pupils (FTE)]]</f>
        <v>5181.818181818182</v>
      </c>
      <c r="BE80" s="598">
        <f>Table35[[#This Row],[Teaching staff]]/Table35[[#This Row],[Number of teachers in academy (FTE)]]</f>
        <v>0</v>
      </c>
      <c r="BF80" s="599">
        <f>Table35[[#This Row],[Number of pupils (FTE)]]/Table35[[#This Row],[Number of teachers in academy (FTE)]]</f>
        <v>20.393258426966291</v>
      </c>
      <c r="BG80" s="600">
        <f t="shared" si="10"/>
        <v>796.14325068870528</v>
      </c>
      <c r="BH80" s="598">
        <f>Table35[[#This Row],[Premises Costs]]/Table35[[#This Row],[Number of pupils (FTE)]]</f>
        <v>319.55922865013775</v>
      </c>
      <c r="BI80" s="598">
        <f>Table35[[#This Row],[Maintenance &amp; Improvement Costs]]/Table35[[#This Row],[Number of pupils (FTE)]]</f>
        <v>129.47658402203857</v>
      </c>
      <c r="BJ80" s="598" t="e">
        <f>#REF!/E80</f>
        <v>#REF!</v>
      </c>
      <c r="BK80" s="598">
        <f t="shared" si="11"/>
        <v>8.2644628099173545</v>
      </c>
      <c r="BL80" s="598">
        <f t="shared" si="12"/>
        <v>24.793388429752067</v>
      </c>
      <c r="BM80" s="598">
        <f t="shared" si="13"/>
        <v>88.154269972451786</v>
      </c>
      <c r="BN80" s="598">
        <f t="shared" si="14"/>
        <v>256.198347107438</v>
      </c>
      <c r="BO80" s="598">
        <f t="shared" si="15"/>
        <v>181.81818181818181</v>
      </c>
      <c r="BP80" s="598">
        <f t="shared" si="16"/>
        <v>35.812672176308538</v>
      </c>
      <c r="BQ80" s="598">
        <f t="shared" si="17"/>
        <v>517.90633608815426</v>
      </c>
      <c r="BR80" s="598">
        <f t="shared" si="18"/>
        <v>438.01652892561981</v>
      </c>
      <c r="BS80" s="598">
        <f t="shared" si="19"/>
        <v>44.077134986225893</v>
      </c>
    </row>
    <row r="81" spans="1:71" ht="29" hidden="1" x14ac:dyDescent="0.35">
      <c r="A81" s="580">
        <v>925</v>
      </c>
      <c r="B81" s="580" t="s">
        <v>489</v>
      </c>
      <c r="C81" s="593" t="s">
        <v>602</v>
      </c>
      <c r="D81" s="593" t="s">
        <v>508</v>
      </c>
      <c r="E81" s="580">
        <v>525</v>
      </c>
      <c r="F81" s="580">
        <v>25.6</v>
      </c>
      <c r="G81" s="580" t="s">
        <v>500</v>
      </c>
      <c r="H81" s="580">
        <v>34.9</v>
      </c>
      <c r="I81" s="580">
        <v>1.9</v>
      </c>
      <c r="J81" s="580">
        <v>17.899999999999999</v>
      </c>
      <c r="K81" s="580">
        <v>0</v>
      </c>
      <c r="L81" s="581">
        <v>3377000</v>
      </c>
      <c r="M81" s="581">
        <v>3098000</v>
      </c>
      <c r="N81" s="582">
        <f>Table35[[#This Row],[Total Income]]-Table35[[#This Row],[Total Expenditure]]</f>
        <v>279000</v>
      </c>
      <c r="O81" s="581">
        <v>478000</v>
      </c>
      <c r="Z81" s="581">
        <v>2472000</v>
      </c>
      <c r="AA81" s="595">
        <f>M81-Z81-Table35[[#This Row],[Maintenance &amp; Improvement]]-Table35[[#This Row],[Cleaning &amp; Caretaking]]-Table35[[#This Row],[Catering Supply]]</f>
        <v>299000</v>
      </c>
      <c r="AB81" s="581">
        <v>69000</v>
      </c>
      <c r="AC81" s="594">
        <v>69000</v>
      </c>
      <c r="AD81" s="594">
        <v>48000</v>
      </c>
      <c r="AE81" s="594">
        <v>40000</v>
      </c>
      <c r="AF81" s="594">
        <v>0</v>
      </c>
      <c r="AG81" s="581">
        <v>157000</v>
      </c>
      <c r="AH81" s="581">
        <v>210000</v>
      </c>
      <c r="AI81" s="596">
        <v>0</v>
      </c>
      <c r="AJ81" s="594">
        <v>210000</v>
      </c>
      <c r="AK81" s="594">
        <v>4000</v>
      </c>
      <c r="AL81" s="594">
        <v>5000</v>
      </c>
      <c r="AM81" s="594">
        <v>52000</v>
      </c>
      <c r="AN81" s="594">
        <v>13000</v>
      </c>
      <c r="AO81" s="594">
        <v>17000</v>
      </c>
      <c r="AP81" s="581">
        <v>301000</v>
      </c>
      <c r="AQ81" s="594">
        <v>103000</v>
      </c>
      <c r="AR81" s="594">
        <v>31000</v>
      </c>
      <c r="AS81" s="594">
        <v>0</v>
      </c>
      <c r="AT81" s="594">
        <v>14000</v>
      </c>
      <c r="AU81" s="581">
        <v>167000</v>
      </c>
      <c r="AV81" s="594">
        <v>103000</v>
      </c>
      <c r="AW81" s="594">
        <v>31000</v>
      </c>
      <c r="AX81" s="594">
        <v>0</v>
      </c>
      <c r="AY81" s="581">
        <v>134000</v>
      </c>
      <c r="AZ81" s="594">
        <v>16000</v>
      </c>
      <c r="BA81" s="594">
        <v>3000</v>
      </c>
      <c r="BB81" s="581">
        <v>19000</v>
      </c>
      <c r="BC81" s="597">
        <f>Table35[[#This Row],[Total Expenditure]]/Table35[[#This Row],[Number of pupils (FTE)]]</f>
        <v>5900.9523809523807</v>
      </c>
      <c r="BD81" s="598">
        <f>Table35[[#This Row],[Total Staff Costs]]/Table35[[#This Row],[Number of pupils (FTE)]]</f>
        <v>4708.5714285714284</v>
      </c>
      <c r="BE81" s="598">
        <f>Table35[[#This Row],[Teaching staff]]/Table35[[#This Row],[Number of teachers in academy (FTE)]]</f>
        <v>0</v>
      </c>
      <c r="BF81" s="599">
        <f>Table35[[#This Row],[Number of pupils (FTE)]]/Table35[[#This Row],[Number of teachers in academy (FTE)]]</f>
        <v>20.5078125</v>
      </c>
      <c r="BG81" s="600">
        <f t="shared" si="10"/>
        <v>569.52380952380952</v>
      </c>
      <c r="BH81" s="598">
        <f>Table35[[#This Row],[Premises Costs]]/Table35[[#This Row],[Number of pupils (FTE)]]</f>
        <v>299.04761904761904</v>
      </c>
      <c r="BI81" s="598">
        <f>Table35[[#This Row],[Maintenance &amp; Improvement Costs]]/Table35[[#This Row],[Number of pupils (FTE)]]</f>
        <v>131.42857142857142</v>
      </c>
      <c r="BJ81" s="598" t="e">
        <f>#REF!/E81</f>
        <v>#REF!</v>
      </c>
      <c r="BK81" s="598">
        <f t="shared" si="11"/>
        <v>7.6190476190476186</v>
      </c>
      <c r="BL81" s="598">
        <f t="shared" si="12"/>
        <v>9.5238095238095237</v>
      </c>
      <c r="BM81" s="598">
        <f t="shared" si="13"/>
        <v>99.047619047619051</v>
      </c>
      <c r="BN81" s="598">
        <f t="shared" si="14"/>
        <v>196.1904761904762</v>
      </c>
      <c r="BO81" s="598">
        <f t="shared" si="15"/>
        <v>59.047619047619051</v>
      </c>
      <c r="BP81" s="598">
        <f t="shared" si="16"/>
        <v>26.666666666666668</v>
      </c>
      <c r="BQ81" s="598">
        <f t="shared" si="17"/>
        <v>318.09523809523807</v>
      </c>
      <c r="BR81" s="598">
        <f t="shared" si="18"/>
        <v>255.23809523809524</v>
      </c>
      <c r="BS81" s="598">
        <f t="shared" si="19"/>
        <v>36.19047619047619</v>
      </c>
    </row>
    <row r="82" spans="1:71" ht="29" hidden="1" x14ac:dyDescent="0.35">
      <c r="A82" s="580">
        <v>925</v>
      </c>
      <c r="B82" s="580" t="s">
        <v>489</v>
      </c>
      <c r="C82" s="593" t="s">
        <v>603</v>
      </c>
      <c r="D82" s="593" t="s">
        <v>530</v>
      </c>
      <c r="E82" s="580">
        <v>373</v>
      </c>
      <c r="F82" s="580">
        <v>17</v>
      </c>
      <c r="G82" s="580" t="s">
        <v>500</v>
      </c>
      <c r="H82" s="580">
        <v>15</v>
      </c>
      <c r="I82" s="580">
        <v>3.5</v>
      </c>
      <c r="J82" s="580">
        <v>11.5</v>
      </c>
      <c r="K82" s="580">
        <v>0</v>
      </c>
      <c r="L82" s="581">
        <v>2179000</v>
      </c>
      <c r="M82" s="581">
        <v>2214000</v>
      </c>
      <c r="N82" s="582">
        <f>Table35[[#This Row],[Total Income]]-Table35[[#This Row],[Total Expenditure]]</f>
        <v>-35000</v>
      </c>
      <c r="O82" s="581">
        <v>4073000</v>
      </c>
      <c r="Z82" s="581">
        <v>1782000</v>
      </c>
      <c r="AA82" s="595">
        <f>M82-Z82-Table35[[#This Row],[Maintenance &amp; Improvement]]-Table35[[#This Row],[Cleaning &amp; Caretaking]]-Table35[[#This Row],[Catering Supply]]</f>
        <v>257000</v>
      </c>
      <c r="AB82" s="581">
        <v>45000</v>
      </c>
      <c r="AC82" s="594">
        <v>45000</v>
      </c>
      <c r="AD82" s="594">
        <v>40000</v>
      </c>
      <c r="AE82" s="594">
        <v>19000</v>
      </c>
      <c r="AF82" s="594">
        <v>0</v>
      </c>
      <c r="AG82" s="581">
        <v>104000</v>
      </c>
      <c r="AH82" s="581">
        <v>90000</v>
      </c>
      <c r="AI82" s="596">
        <v>0</v>
      </c>
      <c r="AJ82" s="594">
        <v>90000</v>
      </c>
      <c r="AK82" s="594">
        <v>5000</v>
      </c>
      <c r="AL82" s="594">
        <v>9000</v>
      </c>
      <c r="AM82" s="594">
        <v>37000</v>
      </c>
      <c r="AN82" s="594">
        <v>9000</v>
      </c>
      <c r="AO82" s="594">
        <v>11000</v>
      </c>
      <c r="AP82" s="581">
        <v>161000</v>
      </c>
      <c r="AQ82" s="594">
        <v>93000</v>
      </c>
      <c r="AR82" s="594">
        <v>4000</v>
      </c>
      <c r="AS82" s="594">
        <v>0</v>
      </c>
      <c r="AT82" s="594">
        <v>35000</v>
      </c>
      <c r="AU82" s="581">
        <v>167000</v>
      </c>
      <c r="AV82" s="594">
        <v>93000</v>
      </c>
      <c r="AW82" s="594">
        <v>4000</v>
      </c>
      <c r="AX82" s="594">
        <v>0</v>
      </c>
      <c r="AY82" s="581">
        <v>97000</v>
      </c>
      <c r="AZ82" s="594">
        <v>32000</v>
      </c>
      <c r="BA82" s="594">
        <v>3000</v>
      </c>
      <c r="BB82" s="581">
        <v>35000</v>
      </c>
      <c r="BC82" s="597">
        <f>Table35[[#This Row],[Total Expenditure]]/Table35[[#This Row],[Number of pupils (FTE)]]</f>
        <v>5935.6568364611257</v>
      </c>
      <c r="BD82" s="598">
        <f>Table35[[#This Row],[Total Staff Costs]]/Table35[[#This Row],[Number of pupils (FTE)]]</f>
        <v>4777.4798927613938</v>
      </c>
      <c r="BE82" s="598">
        <f>Table35[[#This Row],[Teaching staff]]/Table35[[#This Row],[Number of teachers in academy (FTE)]]</f>
        <v>0</v>
      </c>
      <c r="BF82" s="599">
        <f>Table35[[#This Row],[Number of pupils (FTE)]]/Table35[[#This Row],[Number of teachers in academy (FTE)]]</f>
        <v>21.941176470588236</v>
      </c>
      <c r="BG82" s="600">
        <f t="shared" si="10"/>
        <v>689.00804289544237</v>
      </c>
      <c r="BH82" s="598">
        <f>Table35[[#This Row],[Premises Costs]]/Table35[[#This Row],[Number of pupils (FTE)]]</f>
        <v>278.82037533512062</v>
      </c>
      <c r="BI82" s="598">
        <f>Table35[[#This Row],[Maintenance &amp; Improvement Costs]]/Table35[[#This Row],[Number of pupils (FTE)]]</f>
        <v>120.64343163538874</v>
      </c>
      <c r="BJ82" s="598" t="e">
        <f>#REF!/E82</f>
        <v>#REF!</v>
      </c>
      <c r="BK82" s="598">
        <f t="shared" si="11"/>
        <v>13.404825737265416</v>
      </c>
      <c r="BL82" s="598">
        <f t="shared" si="12"/>
        <v>24.128686327077748</v>
      </c>
      <c r="BM82" s="598">
        <f t="shared" si="13"/>
        <v>99.195710455764072</v>
      </c>
      <c r="BN82" s="598">
        <f t="shared" si="14"/>
        <v>249.32975871313673</v>
      </c>
      <c r="BO82" s="598">
        <f t="shared" si="15"/>
        <v>10.723860589812332</v>
      </c>
      <c r="BP82" s="598">
        <f t="shared" si="16"/>
        <v>93.833780160857913</v>
      </c>
      <c r="BQ82" s="598">
        <f t="shared" si="17"/>
        <v>447.7211796246649</v>
      </c>
      <c r="BR82" s="598">
        <f t="shared" si="18"/>
        <v>260.05361930294907</v>
      </c>
      <c r="BS82" s="598">
        <f t="shared" si="19"/>
        <v>93.833780160857913</v>
      </c>
    </row>
    <row r="83" spans="1:71" ht="29" hidden="1" x14ac:dyDescent="0.35">
      <c r="A83" s="580">
        <v>925</v>
      </c>
      <c r="B83" s="580" t="s">
        <v>489</v>
      </c>
      <c r="C83" s="593" t="s">
        <v>604</v>
      </c>
      <c r="D83" s="593" t="s">
        <v>513</v>
      </c>
      <c r="E83" s="580">
        <v>205</v>
      </c>
      <c r="F83" s="580">
        <v>8.1999999999999993</v>
      </c>
      <c r="G83" s="580" t="s">
        <v>500</v>
      </c>
      <c r="H83" s="580">
        <v>20.5</v>
      </c>
      <c r="I83" s="580">
        <v>2.4</v>
      </c>
      <c r="J83" s="580">
        <v>16.100000000000001</v>
      </c>
      <c r="K83" s="580">
        <v>0</v>
      </c>
      <c r="L83" s="581">
        <v>1279000</v>
      </c>
      <c r="M83" s="581">
        <v>1098000</v>
      </c>
      <c r="N83" s="582">
        <f>Table35[[#This Row],[Total Income]]-Table35[[#This Row],[Total Expenditure]]</f>
        <v>181000</v>
      </c>
      <c r="O83" s="581">
        <v>366000</v>
      </c>
      <c r="Z83" s="581">
        <v>830000</v>
      </c>
      <c r="AA83" s="595">
        <f>M83-Z83-Table35[[#This Row],[Maintenance &amp; Improvement]]-Table35[[#This Row],[Cleaning &amp; Caretaking]]-Table35[[#This Row],[Catering Supply]]</f>
        <v>156000</v>
      </c>
      <c r="AB83" s="581">
        <v>32000</v>
      </c>
      <c r="AC83" s="594">
        <v>32000</v>
      </c>
      <c r="AD83" s="594">
        <v>28000</v>
      </c>
      <c r="AE83" s="594">
        <v>30000</v>
      </c>
      <c r="AF83" s="594">
        <v>0</v>
      </c>
      <c r="AG83" s="581">
        <v>90000</v>
      </c>
      <c r="AH83" s="581">
        <v>52000</v>
      </c>
      <c r="AI83" s="596">
        <v>0</v>
      </c>
      <c r="AJ83" s="594">
        <v>52000</v>
      </c>
      <c r="AK83" s="594">
        <v>4000</v>
      </c>
      <c r="AL83" s="594">
        <v>4000</v>
      </c>
      <c r="AM83" s="594">
        <v>20000</v>
      </c>
      <c r="AN83" s="594">
        <v>4000</v>
      </c>
      <c r="AO83" s="594">
        <v>8000</v>
      </c>
      <c r="AP83" s="581">
        <v>92000</v>
      </c>
      <c r="AQ83" s="594">
        <v>14000</v>
      </c>
      <c r="AR83" s="594">
        <v>8000</v>
      </c>
      <c r="AS83" s="594">
        <v>0</v>
      </c>
      <c r="AT83" s="594">
        <v>42000</v>
      </c>
      <c r="AU83" s="581">
        <v>86000</v>
      </c>
      <c r="AV83" s="594">
        <v>14000</v>
      </c>
      <c r="AW83" s="594">
        <v>8000</v>
      </c>
      <c r="AX83" s="594">
        <v>0</v>
      </c>
      <c r="AY83" s="581">
        <v>22000</v>
      </c>
      <c r="AZ83" s="594">
        <v>22000</v>
      </c>
      <c r="BA83" s="594">
        <v>0</v>
      </c>
      <c r="BB83" s="581">
        <v>22000</v>
      </c>
      <c r="BC83" s="597">
        <f>Table35[[#This Row],[Total Expenditure]]/Table35[[#This Row],[Number of pupils (FTE)]]</f>
        <v>5356.0975609756097</v>
      </c>
      <c r="BD83" s="598">
        <f>Table35[[#This Row],[Total Staff Costs]]/Table35[[#This Row],[Number of pupils (FTE)]]</f>
        <v>4048.7804878048782</v>
      </c>
      <c r="BE83" s="598">
        <f>Table35[[#This Row],[Teaching staff]]/Table35[[#This Row],[Number of teachers in academy (FTE)]]</f>
        <v>0</v>
      </c>
      <c r="BF83" s="599">
        <f>Table35[[#This Row],[Number of pupils (FTE)]]/Table35[[#This Row],[Number of teachers in academy (FTE)]]</f>
        <v>25.000000000000004</v>
      </c>
      <c r="BG83" s="600">
        <f t="shared" si="10"/>
        <v>760.97560975609758</v>
      </c>
      <c r="BH83" s="598">
        <f>Table35[[#This Row],[Premises Costs]]/Table35[[#This Row],[Number of pupils (FTE)]]</f>
        <v>439.02439024390242</v>
      </c>
      <c r="BI83" s="598">
        <f>Table35[[#This Row],[Maintenance &amp; Improvement Costs]]/Table35[[#This Row],[Number of pupils (FTE)]]</f>
        <v>156.09756097560975</v>
      </c>
      <c r="BJ83" s="598" t="e">
        <f>#REF!/E83</f>
        <v>#REF!</v>
      </c>
      <c r="BK83" s="598">
        <f t="shared" si="11"/>
        <v>19.512195121951219</v>
      </c>
      <c r="BL83" s="598">
        <f t="shared" si="12"/>
        <v>19.512195121951219</v>
      </c>
      <c r="BM83" s="598">
        <f t="shared" si="13"/>
        <v>97.560975609756099</v>
      </c>
      <c r="BN83" s="598">
        <f t="shared" si="14"/>
        <v>68.292682926829272</v>
      </c>
      <c r="BO83" s="598">
        <f t="shared" si="15"/>
        <v>39.024390243902438</v>
      </c>
      <c r="BP83" s="598">
        <f t="shared" si="16"/>
        <v>204.8780487804878</v>
      </c>
      <c r="BQ83" s="598">
        <f t="shared" si="17"/>
        <v>419.51219512195121</v>
      </c>
      <c r="BR83" s="598">
        <f t="shared" si="18"/>
        <v>107.3170731707317</v>
      </c>
      <c r="BS83" s="598">
        <f t="shared" si="19"/>
        <v>107.3170731707317</v>
      </c>
    </row>
    <row r="84" spans="1:71" ht="29" hidden="1" x14ac:dyDescent="0.35">
      <c r="A84" s="580">
        <v>925</v>
      </c>
      <c r="B84" s="580" t="s">
        <v>489</v>
      </c>
      <c r="C84" s="593" t="s">
        <v>605</v>
      </c>
      <c r="D84" s="593" t="s">
        <v>494</v>
      </c>
      <c r="E84" s="580">
        <v>415</v>
      </c>
      <c r="F84" s="580">
        <v>21.54</v>
      </c>
      <c r="G84" s="580" t="s">
        <v>500</v>
      </c>
      <c r="H84" s="580">
        <v>36.6</v>
      </c>
      <c r="I84" s="580">
        <v>4.2</v>
      </c>
      <c r="J84" s="580">
        <v>18.2</v>
      </c>
      <c r="K84" s="580">
        <v>0</v>
      </c>
      <c r="L84" s="581">
        <v>2955000</v>
      </c>
      <c r="M84" s="581">
        <v>2679000</v>
      </c>
      <c r="N84" s="582">
        <f>Table35[[#This Row],[Total Income]]-Table35[[#This Row],[Total Expenditure]]</f>
        <v>276000</v>
      </c>
      <c r="O84" s="581">
        <v>107000</v>
      </c>
      <c r="Z84" s="581">
        <v>2093000</v>
      </c>
      <c r="AA84" s="595">
        <f>M84-Z84-Table35[[#This Row],[Maintenance &amp; Improvement]]-Table35[[#This Row],[Cleaning &amp; Caretaking]]-Table35[[#This Row],[Catering Supply]]</f>
        <v>339000</v>
      </c>
      <c r="AB84" s="581">
        <v>117000</v>
      </c>
      <c r="AC84" s="594">
        <v>117000</v>
      </c>
      <c r="AD84" s="594">
        <v>1000</v>
      </c>
      <c r="AE84" s="594">
        <v>4000</v>
      </c>
      <c r="AF84" s="594">
        <v>0</v>
      </c>
      <c r="AG84" s="581">
        <v>122000</v>
      </c>
      <c r="AH84" s="581">
        <v>129000</v>
      </c>
      <c r="AI84" s="596">
        <v>0</v>
      </c>
      <c r="AJ84" s="594">
        <v>129000</v>
      </c>
      <c r="AK84" s="594">
        <v>8000</v>
      </c>
      <c r="AL84" s="594">
        <v>9000</v>
      </c>
      <c r="AM84" s="594">
        <v>74000</v>
      </c>
      <c r="AN84" s="594">
        <v>10000</v>
      </c>
      <c r="AO84" s="594">
        <v>23000</v>
      </c>
      <c r="AP84" s="581">
        <v>253000</v>
      </c>
      <c r="AQ84" s="594">
        <v>118000</v>
      </c>
      <c r="AR84" s="594">
        <v>8000</v>
      </c>
      <c r="AS84" s="594">
        <v>0</v>
      </c>
      <c r="AT84" s="594">
        <v>54000</v>
      </c>
      <c r="AU84" s="581">
        <v>211000</v>
      </c>
      <c r="AV84" s="594">
        <v>118000</v>
      </c>
      <c r="AW84" s="594">
        <v>8000</v>
      </c>
      <c r="AX84" s="594">
        <v>0</v>
      </c>
      <c r="AY84" s="581">
        <v>126000</v>
      </c>
      <c r="AZ84" s="594">
        <v>28000</v>
      </c>
      <c r="BA84" s="594">
        <v>3000</v>
      </c>
      <c r="BB84" s="581">
        <v>31000</v>
      </c>
      <c r="BC84" s="597">
        <f>Table35[[#This Row],[Total Expenditure]]/Table35[[#This Row],[Number of pupils (FTE)]]</f>
        <v>6455.4216867469877</v>
      </c>
      <c r="BD84" s="598">
        <f>Table35[[#This Row],[Total Staff Costs]]/Table35[[#This Row],[Number of pupils (FTE)]]</f>
        <v>5043.3734939759033</v>
      </c>
      <c r="BE84" s="598">
        <f>Table35[[#This Row],[Teaching staff]]/Table35[[#This Row],[Number of teachers in academy (FTE)]]</f>
        <v>0</v>
      </c>
      <c r="BF84" s="599">
        <f>Table35[[#This Row],[Number of pupils (FTE)]]/Table35[[#This Row],[Number of teachers in academy (FTE)]]</f>
        <v>19.266480965645311</v>
      </c>
      <c r="BG84" s="600">
        <f t="shared" si="10"/>
        <v>816.86746987951813</v>
      </c>
      <c r="BH84" s="598">
        <f>Table35[[#This Row],[Premises Costs]]/Table35[[#This Row],[Number of pupils (FTE)]]</f>
        <v>293.97590361445782</v>
      </c>
      <c r="BI84" s="598">
        <f>Table35[[#This Row],[Maintenance &amp; Improvement Costs]]/Table35[[#This Row],[Number of pupils (FTE)]]</f>
        <v>281.92771084337352</v>
      </c>
      <c r="BJ84" s="598" t="e">
        <f>#REF!/E84</f>
        <v>#REF!</v>
      </c>
      <c r="BK84" s="598">
        <f t="shared" si="11"/>
        <v>19.277108433734941</v>
      </c>
      <c r="BL84" s="598">
        <f t="shared" si="12"/>
        <v>21.686746987951807</v>
      </c>
      <c r="BM84" s="598">
        <f t="shared" si="13"/>
        <v>178.31325301204819</v>
      </c>
      <c r="BN84" s="598">
        <f t="shared" si="14"/>
        <v>284.33734939759034</v>
      </c>
      <c r="BO84" s="598">
        <f t="shared" si="15"/>
        <v>19.277108433734941</v>
      </c>
      <c r="BP84" s="598">
        <f t="shared" si="16"/>
        <v>130.12048192771084</v>
      </c>
      <c r="BQ84" s="598">
        <f t="shared" si="17"/>
        <v>508.43373493975906</v>
      </c>
      <c r="BR84" s="598">
        <f t="shared" si="18"/>
        <v>303.6144578313253</v>
      </c>
      <c r="BS84" s="598">
        <f t="shared" si="19"/>
        <v>74.698795180722897</v>
      </c>
    </row>
    <row r="85" spans="1:71" ht="29" hidden="1" x14ac:dyDescent="0.35">
      <c r="A85" s="580">
        <v>925</v>
      </c>
      <c r="B85" s="580" t="s">
        <v>489</v>
      </c>
      <c r="C85" s="593" t="s">
        <v>606</v>
      </c>
      <c r="D85" s="593" t="s">
        <v>506</v>
      </c>
      <c r="E85" s="580">
        <v>223</v>
      </c>
      <c r="F85" s="580">
        <v>13.03</v>
      </c>
      <c r="G85" s="580" t="s">
        <v>500</v>
      </c>
      <c r="H85" s="580">
        <v>67.8</v>
      </c>
      <c r="I85" s="580">
        <v>7.2</v>
      </c>
      <c r="J85" s="580">
        <v>25.4</v>
      </c>
      <c r="K85" s="580">
        <v>0</v>
      </c>
      <c r="L85" s="581">
        <v>2190000</v>
      </c>
      <c r="M85" s="581">
        <v>2025000</v>
      </c>
      <c r="N85" s="582">
        <f>Table35[[#This Row],[Total Income]]-Table35[[#This Row],[Total Expenditure]]</f>
        <v>165000</v>
      </c>
      <c r="O85" s="581">
        <v>0</v>
      </c>
      <c r="Z85" s="581">
        <v>1528000</v>
      </c>
      <c r="AA85" s="595">
        <f>M85-Z85-Table35[[#This Row],[Maintenance &amp; Improvement]]-Table35[[#This Row],[Cleaning &amp; Caretaking]]-Table35[[#This Row],[Catering Supply]]</f>
        <v>315000</v>
      </c>
      <c r="AB85" s="581">
        <v>32000</v>
      </c>
      <c r="AC85" s="594">
        <v>32000</v>
      </c>
      <c r="AD85" s="594">
        <v>5000</v>
      </c>
      <c r="AE85" s="594">
        <v>84000</v>
      </c>
      <c r="AF85" s="594">
        <v>0</v>
      </c>
      <c r="AG85" s="581">
        <v>121000</v>
      </c>
      <c r="AH85" s="581">
        <v>145000</v>
      </c>
      <c r="AI85" s="596">
        <v>0</v>
      </c>
      <c r="AJ85" s="594">
        <v>145000</v>
      </c>
      <c r="AK85" s="594">
        <v>4000</v>
      </c>
      <c r="AL85" s="594">
        <v>6000</v>
      </c>
      <c r="AM85" s="594">
        <v>27000</v>
      </c>
      <c r="AN85" s="594">
        <v>6000</v>
      </c>
      <c r="AO85" s="594">
        <v>11000</v>
      </c>
      <c r="AP85" s="581">
        <v>199000</v>
      </c>
      <c r="AQ85" s="594">
        <v>63000</v>
      </c>
      <c r="AR85" s="594">
        <v>0</v>
      </c>
      <c r="AS85" s="594">
        <v>0</v>
      </c>
      <c r="AT85" s="594">
        <v>73000</v>
      </c>
      <c r="AU85" s="581">
        <v>177000</v>
      </c>
      <c r="AV85" s="594">
        <v>63000</v>
      </c>
      <c r="AW85" s="594">
        <v>0</v>
      </c>
      <c r="AX85" s="594">
        <v>0</v>
      </c>
      <c r="AY85" s="581">
        <v>63000</v>
      </c>
      <c r="AZ85" s="594">
        <v>40000</v>
      </c>
      <c r="BA85" s="594">
        <v>1000</v>
      </c>
      <c r="BB85" s="581">
        <v>41000</v>
      </c>
      <c r="BC85" s="597">
        <f>Table35[[#This Row],[Total Expenditure]]/Table35[[#This Row],[Number of pupils (FTE)]]</f>
        <v>9080.7174887892379</v>
      </c>
      <c r="BD85" s="598">
        <f>Table35[[#This Row],[Total Staff Costs]]/Table35[[#This Row],[Number of pupils (FTE)]]</f>
        <v>6852.0179372197308</v>
      </c>
      <c r="BE85" s="598">
        <f>Table35[[#This Row],[Teaching staff]]/Table35[[#This Row],[Number of teachers in academy (FTE)]]</f>
        <v>0</v>
      </c>
      <c r="BF85" s="599">
        <f>Table35[[#This Row],[Number of pupils (FTE)]]/Table35[[#This Row],[Number of teachers in academy (FTE)]]</f>
        <v>17.114351496546433</v>
      </c>
      <c r="BG85" s="600">
        <f t="shared" si="10"/>
        <v>1412.5560538116592</v>
      </c>
      <c r="BH85" s="598">
        <f>Table35[[#This Row],[Premises Costs]]/Table35[[#This Row],[Number of pupils (FTE)]]</f>
        <v>542.6008968609865</v>
      </c>
      <c r="BI85" s="598">
        <f>Table35[[#This Row],[Maintenance &amp; Improvement Costs]]/Table35[[#This Row],[Number of pupils (FTE)]]</f>
        <v>143.49775784753362</v>
      </c>
      <c r="BJ85" s="598" t="e">
        <f>#REF!/E85</f>
        <v>#REF!</v>
      </c>
      <c r="BK85" s="598">
        <f t="shared" si="11"/>
        <v>17.937219730941703</v>
      </c>
      <c r="BL85" s="598">
        <f t="shared" si="12"/>
        <v>26.905829596412556</v>
      </c>
      <c r="BM85" s="598">
        <f t="shared" si="13"/>
        <v>121.0762331838565</v>
      </c>
      <c r="BN85" s="598">
        <f t="shared" si="14"/>
        <v>282.51121076233181</v>
      </c>
      <c r="BO85" s="598">
        <f t="shared" si="15"/>
        <v>0</v>
      </c>
      <c r="BP85" s="598">
        <f t="shared" si="16"/>
        <v>327.35426008968608</v>
      </c>
      <c r="BQ85" s="598">
        <f t="shared" si="17"/>
        <v>793.72197309417038</v>
      </c>
      <c r="BR85" s="598">
        <f t="shared" si="18"/>
        <v>282.51121076233181</v>
      </c>
      <c r="BS85" s="598">
        <f t="shared" si="19"/>
        <v>183.85650224215246</v>
      </c>
    </row>
    <row r="86" spans="1:71" ht="29" hidden="1" x14ac:dyDescent="0.35">
      <c r="A86" s="580">
        <v>925</v>
      </c>
      <c r="B86" s="580" t="s">
        <v>489</v>
      </c>
      <c r="C86" s="593" t="s">
        <v>607</v>
      </c>
      <c r="D86" s="593" t="s">
        <v>519</v>
      </c>
      <c r="E86" s="580">
        <v>134</v>
      </c>
      <c r="F86" s="580">
        <v>5.6</v>
      </c>
      <c r="G86" s="580" t="s">
        <v>500</v>
      </c>
      <c r="H86" s="580">
        <v>11.2</v>
      </c>
      <c r="I86" s="580">
        <v>3</v>
      </c>
      <c r="J86" s="580">
        <v>6</v>
      </c>
      <c r="K86" s="580">
        <v>0</v>
      </c>
      <c r="L86" s="581">
        <v>885000</v>
      </c>
      <c r="M86" s="581">
        <v>825000</v>
      </c>
      <c r="N86" s="582">
        <f>Table35[[#This Row],[Total Income]]-Table35[[#This Row],[Total Expenditure]]</f>
        <v>60000</v>
      </c>
      <c r="O86" s="581">
        <v>0</v>
      </c>
      <c r="Z86" s="581">
        <v>676000</v>
      </c>
      <c r="AA86" s="595">
        <f>M86-Z86-Table35[[#This Row],[Maintenance &amp; Improvement]]-Table35[[#This Row],[Cleaning &amp; Caretaking]]-Table35[[#This Row],[Catering Supply]]</f>
        <v>84000</v>
      </c>
      <c r="AB86" s="581">
        <v>6000</v>
      </c>
      <c r="AC86" s="594">
        <v>6000</v>
      </c>
      <c r="AD86" s="594">
        <v>5000</v>
      </c>
      <c r="AE86" s="594">
        <v>18000</v>
      </c>
      <c r="AF86" s="594">
        <v>0</v>
      </c>
      <c r="AG86" s="581">
        <v>29000</v>
      </c>
      <c r="AH86" s="581">
        <v>54000</v>
      </c>
      <c r="AI86" s="596">
        <v>0</v>
      </c>
      <c r="AJ86" s="594">
        <v>54000</v>
      </c>
      <c r="AK86" s="594">
        <v>2000</v>
      </c>
      <c r="AL86" s="594">
        <v>4000</v>
      </c>
      <c r="AM86" s="594">
        <v>11000</v>
      </c>
      <c r="AN86" s="594">
        <v>0</v>
      </c>
      <c r="AO86" s="594">
        <v>2000</v>
      </c>
      <c r="AP86" s="581">
        <v>73000</v>
      </c>
      <c r="AQ86" s="594">
        <v>14000</v>
      </c>
      <c r="AR86" s="594">
        <v>1000</v>
      </c>
      <c r="AS86" s="594">
        <v>0</v>
      </c>
      <c r="AT86" s="594">
        <v>3000</v>
      </c>
      <c r="AU86" s="581">
        <v>47000</v>
      </c>
      <c r="AV86" s="594">
        <v>14000</v>
      </c>
      <c r="AW86" s="594">
        <v>1000</v>
      </c>
      <c r="AX86" s="594">
        <v>0</v>
      </c>
      <c r="AY86" s="581">
        <v>15000</v>
      </c>
      <c r="AZ86" s="594">
        <v>21000</v>
      </c>
      <c r="BA86" s="594">
        <v>8000</v>
      </c>
      <c r="BB86" s="581">
        <v>29000</v>
      </c>
      <c r="BC86" s="597">
        <f>Table35[[#This Row],[Total Expenditure]]/Table35[[#This Row],[Number of pupils (FTE)]]</f>
        <v>6156.7164179104475</v>
      </c>
      <c r="BD86" s="598">
        <f>Table35[[#This Row],[Total Staff Costs]]/Table35[[#This Row],[Number of pupils (FTE)]]</f>
        <v>5044.7761194029854</v>
      </c>
      <c r="BE86" s="598">
        <f>Table35[[#This Row],[Teaching staff]]/Table35[[#This Row],[Number of teachers in academy (FTE)]]</f>
        <v>0</v>
      </c>
      <c r="BF86" s="599">
        <f>Table35[[#This Row],[Number of pupils (FTE)]]/Table35[[#This Row],[Number of teachers in academy (FTE)]]</f>
        <v>23.928571428571431</v>
      </c>
      <c r="BG86" s="600">
        <f t="shared" si="10"/>
        <v>626.8656716417911</v>
      </c>
      <c r="BH86" s="598">
        <f>Table35[[#This Row],[Premises Costs]]/Table35[[#This Row],[Number of pupils (FTE)]]</f>
        <v>216.41791044776119</v>
      </c>
      <c r="BI86" s="598">
        <f>Table35[[#This Row],[Maintenance &amp; Improvement Costs]]/Table35[[#This Row],[Number of pupils (FTE)]]</f>
        <v>44.776119402985074</v>
      </c>
      <c r="BJ86" s="598" t="e">
        <f>#REF!/E86</f>
        <v>#REF!</v>
      </c>
      <c r="BK86" s="598">
        <f t="shared" si="11"/>
        <v>14.925373134328359</v>
      </c>
      <c r="BL86" s="598">
        <f t="shared" si="12"/>
        <v>29.850746268656717</v>
      </c>
      <c r="BM86" s="598">
        <f t="shared" si="13"/>
        <v>82.089552238805965</v>
      </c>
      <c r="BN86" s="598">
        <f t="shared" si="14"/>
        <v>104.4776119402985</v>
      </c>
      <c r="BO86" s="598">
        <f t="shared" si="15"/>
        <v>7.4626865671641793</v>
      </c>
      <c r="BP86" s="598">
        <f t="shared" si="16"/>
        <v>22.388059701492537</v>
      </c>
      <c r="BQ86" s="598">
        <f t="shared" si="17"/>
        <v>350.74626865671644</v>
      </c>
      <c r="BR86" s="598">
        <f t="shared" si="18"/>
        <v>111.94029850746269</v>
      </c>
      <c r="BS86" s="598">
        <f t="shared" si="19"/>
        <v>216.41791044776119</v>
      </c>
    </row>
    <row r="87" spans="1:71" ht="29" hidden="1" x14ac:dyDescent="0.35">
      <c r="A87" s="580">
        <v>925</v>
      </c>
      <c r="B87" s="580" t="s">
        <v>489</v>
      </c>
      <c r="C87" s="593" t="s">
        <v>608</v>
      </c>
      <c r="D87" s="593" t="s">
        <v>519</v>
      </c>
      <c r="E87" s="580">
        <v>104</v>
      </c>
      <c r="F87" s="580">
        <v>5.18</v>
      </c>
      <c r="G87" s="580" t="s">
        <v>500</v>
      </c>
      <c r="H87" s="580">
        <v>18.3</v>
      </c>
      <c r="I87" s="580">
        <v>1.9</v>
      </c>
      <c r="J87" s="580">
        <v>10.6</v>
      </c>
      <c r="K87" s="580">
        <v>0</v>
      </c>
      <c r="L87" s="581">
        <v>704000</v>
      </c>
      <c r="M87" s="581">
        <v>599000</v>
      </c>
      <c r="N87" s="582">
        <f>Table35[[#This Row],[Total Income]]-Table35[[#This Row],[Total Expenditure]]</f>
        <v>105000</v>
      </c>
      <c r="O87" s="581">
        <v>0</v>
      </c>
      <c r="Z87" s="581">
        <v>464000</v>
      </c>
      <c r="AA87" s="595">
        <f>M87-Z87-Table35[[#This Row],[Maintenance &amp; Improvement]]-Table35[[#This Row],[Cleaning &amp; Caretaking]]-Table35[[#This Row],[Catering Supply]]</f>
        <v>103000</v>
      </c>
      <c r="AB87" s="581">
        <v>6000</v>
      </c>
      <c r="AC87" s="594">
        <v>6000</v>
      </c>
      <c r="AD87" s="594">
        <v>1000</v>
      </c>
      <c r="AE87" s="594">
        <v>29000</v>
      </c>
      <c r="AF87" s="594">
        <v>0</v>
      </c>
      <c r="AG87" s="581">
        <v>36000</v>
      </c>
      <c r="AH87" s="581">
        <v>25000</v>
      </c>
      <c r="AI87" s="596">
        <v>0</v>
      </c>
      <c r="AJ87" s="594">
        <v>25000</v>
      </c>
      <c r="AK87" s="594">
        <v>0</v>
      </c>
      <c r="AL87" s="594">
        <v>15000</v>
      </c>
      <c r="AM87" s="594">
        <v>9000</v>
      </c>
      <c r="AN87" s="594">
        <v>0</v>
      </c>
      <c r="AO87" s="594">
        <v>2000</v>
      </c>
      <c r="AP87" s="581">
        <v>51000</v>
      </c>
      <c r="AQ87" s="594">
        <v>32000</v>
      </c>
      <c r="AR87" s="594">
        <v>3000</v>
      </c>
      <c r="AS87" s="594">
        <v>0</v>
      </c>
      <c r="AT87" s="594">
        <v>3000</v>
      </c>
      <c r="AU87" s="581">
        <v>48000</v>
      </c>
      <c r="AV87" s="594">
        <v>32000</v>
      </c>
      <c r="AW87" s="594">
        <v>3000</v>
      </c>
      <c r="AX87" s="594">
        <v>0</v>
      </c>
      <c r="AY87" s="581">
        <v>35000</v>
      </c>
      <c r="AZ87" s="594">
        <v>10000</v>
      </c>
      <c r="BA87" s="594">
        <v>0</v>
      </c>
      <c r="BB87" s="581">
        <v>10000</v>
      </c>
      <c r="BC87" s="597">
        <f>Table35[[#This Row],[Total Expenditure]]/Table35[[#This Row],[Number of pupils (FTE)]]</f>
        <v>5759.6153846153848</v>
      </c>
      <c r="BD87" s="598">
        <f>Table35[[#This Row],[Total Staff Costs]]/Table35[[#This Row],[Number of pupils (FTE)]]</f>
        <v>4461.5384615384619</v>
      </c>
      <c r="BE87" s="598">
        <f>Table35[[#This Row],[Teaching staff]]/Table35[[#This Row],[Number of teachers in academy (FTE)]]</f>
        <v>0</v>
      </c>
      <c r="BF87" s="599">
        <f>Table35[[#This Row],[Number of pupils (FTE)]]/Table35[[#This Row],[Number of teachers in academy (FTE)]]</f>
        <v>20.07722007722008</v>
      </c>
      <c r="BG87" s="600">
        <f t="shared" si="10"/>
        <v>990.38461538461536</v>
      </c>
      <c r="BH87" s="598">
        <f>Table35[[#This Row],[Premises Costs]]/Table35[[#This Row],[Number of pupils (FTE)]]</f>
        <v>346.15384615384613</v>
      </c>
      <c r="BI87" s="598">
        <f>Table35[[#This Row],[Maintenance &amp; Improvement Costs]]/Table35[[#This Row],[Number of pupils (FTE)]]</f>
        <v>57.692307692307693</v>
      </c>
      <c r="BJ87" s="598" t="e">
        <f>#REF!/E87</f>
        <v>#REF!</v>
      </c>
      <c r="BK87" s="598">
        <f t="shared" si="11"/>
        <v>0</v>
      </c>
      <c r="BL87" s="598">
        <f t="shared" si="12"/>
        <v>144.23076923076923</v>
      </c>
      <c r="BM87" s="598">
        <f t="shared" si="13"/>
        <v>86.538461538461533</v>
      </c>
      <c r="BN87" s="598">
        <f t="shared" si="14"/>
        <v>307.69230769230768</v>
      </c>
      <c r="BO87" s="598">
        <f t="shared" si="15"/>
        <v>28.846153846153847</v>
      </c>
      <c r="BP87" s="598">
        <f t="shared" si="16"/>
        <v>28.846153846153847</v>
      </c>
      <c r="BQ87" s="598">
        <f t="shared" si="17"/>
        <v>461.53846153846155</v>
      </c>
      <c r="BR87" s="598">
        <f t="shared" si="18"/>
        <v>336.53846153846155</v>
      </c>
      <c r="BS87" s="598">
        <f t="shared" si="19"/>
        <v>96.15384615384616</v>
      </c>
    </row>
    <row r="88" spans="1:71" ht="43.5" hidden="1" x14ac:dyDescent="0.35">
      <c r="A88" s="580">
        <v>925</v>
      </c>
      <c r="B88" s="580" t="s">
        <v>489</v>
      </c>
      <c r="C88" s="593" t="s">
        <v>609</v>
      </c>
      <c r="D88" s="593" t="s">
        <v>610</v>
      </c>
      <c r="E88" s="580">
        <v>107</v>
      </c>
      <c r="F88" s="580">
        <v>5.99</v>
      </c>
      <c r="G88" s="580" t="s">
        <v>500</v>
      </c>
      <c r="H88" s="580">
        <v>17.8</v>
      </c>
      <c r="I88" s="580">
        <v>3.7</v>
      </c>
      <c r="J88" s="580">
        <v>13.1</v>
      </c>
      <c r="K88" s="580">
        <v>0</v>
      </c>
      <c r="L88" s="581">
        <v>817000</v>
      </c>
      <c r="M88" s="581">
        <v>795000</v>
      </c>
      <c r="N88" s="582">
        <f>Table35[[#This Row],[Total Income]]-Table35[[#This Row],[Total Expenditure]]</f>
        <v>22000</v>
      </c>
      <c r="O88" s="581">
        <v>100000</v>
      </c>
      <c r="Z88" s="581">
        <v>590000</v>
      </c>
      <c r="AA88" s="595">
        <f>M88-Z88-Table35[[#This Row],[Maintenance &amp; Improvement]]-Table35[[#This Row],[Cleaning &amp; Caretaking]]-Table35[[#This Row],[Catering Supply]]</f>
        <v>156000</v>
      </c>
      <c r="AB88" s="581">
        <v>18000</v>
      </c>
      <c r="AC88" s="594">
        <v>18000</v>
      </c>
      <c r="AD88" s="594">
        <v>6000</v>
      </c>
      <c r="AE88" s="594">
        <v>21000</v>
      </c>
      <c r="AF88" s="594">
        <v>0</v>
      </c>
      <c r="AG88" s="581">
        <v>45000</v>
      </c>
      <c r="AH88" s="581">
        <v>39000</v>
      </c>
      <c r="AI88" s="596">
        <v>14000</v>
      </c>
      <c r="AJ88" s="594">
        <v>25000</v>
      </c>
      <c r="AK88" s="594">
        <v>1000</v>
      </c>
      <c r="AL88" s="594">
        <v>2000</v>
      </c>
      <c r="AM88" s="594">
        <v>8000</v>
      </c>
      <c r="AN88" s="594">
        <v>3000</v>
      </c>
      <c r="AO88" s="594">
        <v>0</v>
      </c>
      <c r="AP88" s="581">
        <v>53000</v>
      </c>
      <c r="AQ88" s="594">
        <v>17000</v>
      </c>
      <c r="AR88" s="594">
        <v>0</v>
      </c>
      <c r="AS88" s="594">
        <v>0</v>
      </c>
      <c r="AT88" s="594">
        <v>43000</v>
      </c>
      <c r="AU88" s="581">
        <v>107000</v>
      </c>
      <c r="AV88" s="594">
        <v>17000</v>
      </c>
      <c r="AW88" s="594">
        <v>0</v>
      </c>
      <c r="AX88" s="594">
        <v>0</v>
      </c>
      <c r="AY88" s="581">
        <v>17000</v>
      </c>
      <c r="AZ88" s="594">
        <v>25000</v>
      </c>
      <c r="BA88" s="594">
        <v>22000</v>
      </c>
      <c r="BB88" s="581">
        <v>47000</v>
      </c>
      <c r="BC88" s="597">
        <f>Table35[[#This Row],[Total Expenditure]]/Table35[[#This Row],[Number of pupils (FTE)]]</f>
        <v>7429.9065420560746</v>
      </c>
      <c r="BD88" s="598">
        <f>Table35[[#This Row],[Total Staff Costs]]/Table35[[#This Row],[Number of pupils (FTE)]]</f>
        <v>5514.0186915887853</v>
      </c>
      <c r="BE88" s="598">
        <f>Table35[[#This Row],[Teaching staff]]/Table35[[#This Row],[Number of teachers in academy (FTE)]]</f>
        <v>0</v>
      </c>
      <c r="BF88" s="599">
        <f>Table35[[#This Row],[Number of pupils (FTE)]]/Table35[[#This Row],[Number of teachers in academy (FTE)]]</f>
        <v>17.863105175292151</v>
      </c>
      <c r="BG88" s="600">
        <f t="shared" si="10"/>
        <v>1457.9439252336449</v>
      </c>
      <c r="BH88" s="598">
        <f>Table35[[#This Row],[Premises Costs]]/Table35[[#This Row],[Number of pupils (FTE)]]</f>
        <v>420.56074766355141</v>
      </c>
      <c r="BI88" s="598">
        <f>Table35[[#This Row],[Maintenance &amp; Improvement Costs]]/Table35[[#This Row],[Number of pupils (FTE)]]</f>
        <v>168.22429906542055</v>
      </c>
      <c r="BJ88" s="598" t="e">
        <f>#REF!/E88</f>
        <v>#REF!</v>
      </c>
      <c r="BK88" s="598">
        <f t="shared" si="11"/>
        <v>9.3457943925233646</v>
      </c>
      <c r="BL88" s="598">
        <f t="shared" si="12"/>
        <v>18.691588785046729</v>
      </c>
      <c r="BM88" s="598">
        <f t="shared" si="13"/>
        <v>74.766355140186917</v>
      </c>
      <c r="BN88" s="598">
        <f t="shared" si="14"/>
        <v>158.87850467289721</v>
      </c>
      <c r="BO88" s="598">
        <f t="shared" si="15"/>
        <v>0</v>
      </c>
      <c r="BP88" s="598">
        <f t="shared" si="16"/>
        <v>401.86915887850466</v>
      </c>
      <c r="BQ88" s="598">
        <f t="shared" si="17"/>
        <v>1000</v>
      </c>
      <c r="BR88" s="598">
        <f t="shared" si="18"/>
        <v>158.87850467289721</v>
      </c>
      <c r="BS88" s="598">
        <f t="shared" si="19"/>
        <v>439.25233644859816</v>
      </c>
    </row>
    <row r="89" spans="1:71" ht="29" hidden="1" x14ac:dyDescent="0.35">
      <c r="A89" s="580">
        <v>925</v>
      </c>
      <c r="B89" s="580" t="s">
        <v>489</v>
      </c>
      <c r="C89" s="593" t="s">
        <v>611</v>
      </c>
      <c r="D89" s="593" t="s">
        <v>555</v>
      </c>
      <c r="E89" s="580">
        <v>257</v>
      </c>
      <c r="F89" s="580">
        <v>12.51</v>
      </c>
      <c r="G89" s="580" t="s">
        <v>500</v>
      </c>
      <c r="H89" s="580">
        <v>9.6999999999999993</v>
      </c>
      <c r="I89" s="580">
        <v>1.9</v>
      </c>
      <c r="J89" s="580">
        <v>21</v>
      </c>
      <c r="K89" s="580">
        <v>0</v>
      </c>
      <c r="L89" s="581">
        <v>1331000</v>
      </c>
      <c r="M89" s="581">
        <v>1272000</v>
      </c>
      <c r="N89" s="582">
        <f>Table35[[#This Row],[Total Income]]-Table35[[#This Row],[Total Expenditure]]</f>
        <v>59000</v>
      </c>
      <c r="O89" s="581">
        <v>0</v>
      </c>
      <c r="Z89" s="581">
        <v>1024000</v>
      </c>
      <c r="AA89" s="595">
        <f>M89-Z89-Table35[[#This Row],[Maintenance &amp; Improvement]]-Table35[[#This Row],[Cleaning &amp; Caretaking]]-Table35[[#This Row],[Catering Supply]]</f>
        <v>174000</v>
      </c>
      <c r="AB89" s="581">
        <v>25000</v>
      </c>
      <c r="AC89" s="594">
        <v>25000</v>
      </c>
      <c r="AD89" s="594">
        <v>6000</v>
      </c>
      <c r="AE89" s="594">
        <v>52000</v>
      </c>
      <c r="AF89" s="594">
        <v>0</v>
      </c>
      <c r="AG89" s="581">
        <v>83000</v>
      </c>
      <c r="AH89" s="581">
        <v>43000</v>
      </c>
      <c r="AI89" s="596">
        <v>0</v>
      </c>
      <c r="AJ89" s="594">
        <v>43000</v>
      </c>
      <c r="AK89" s="594">
        <v>3000</v>
      </c>
      <c r="AL89" s="594">
        <v>5000</v>
      </c>
      <c r="AM89" s="594">
        <v>20000</v>
      </c>
      <c r="AN89" s="594">
        <v>6000</v>
      </c>
      <c r="AO89" s="594">
        <v>3000</v>
      </c>
      <c r="AP89" s="581">
        <v>80000</v>
      </c>
      <c r="AQ89" s="594">
        <v>51000</v>
      </c>
      <c r="AR89" s="594">
        <v>1000</v>
      </c>
      <c r="AS89" s="594">
        <v>0</v>
      </c>
      <c r="AT89" s="594">
        <v>16000</v>
      </c>
      <c r="AU89" s="581">
        <v>85000</v>
      </c>
      <c r="AV89" s="594">
        <v>51000</v>
      </c>
      <c r="AW89" s="594">
        <v>1000</v>
      </c>
      <c r="AX89" s="594">
        <v>0</v>
      </c>
      <c r="AY89" s="581">
        <v>52000</v>
      </c>
      <c r="AZ89" s="594">
        <v>10000</v>
      </c>
      <c r="BA89" s="594">
        <v>7000</v>
      </c>
      <c r="BB89" s="581">
        <v>17000</v>
      </c>
      <c r="BC89" s="597">
        <f>Table35[[#This Row],[Total Expenditure]]/Table35[[#This Row],[Number of pupils (FTE)]]</f>
        <v>4949.4163424124517</v>
      </c>
      <c r="BD89" s="598">
        <f>Table35[[#This Row],[Total Staff Costs]]/Table35[[#This Row],[Number of pupils (FTE)]]</f>
        <v>3984.4357976653696</v>
      </c>
      <c r="BE89" s="598">
        <f>Table35[[#This Row],[Teaching staff]]/Table35[[#This Row],[Number of teachers in academy (FTE)]]</f>
        <v>0</v>
      </c>
      <c r="BF89" s="599">
        <f>Table35[[#This Row],[Number of pupils (FTE)]]/Table35[[#This Row],[Number of teachers in academy (FTE)]]</f>
        <v>20.543565147881694</v>
      </c>
      <c r="BG89" s="600">
        <f t="shared" si="10"/>
        <v>677.04280155642027</v>
      </c>
      <c r="BH89" s="598">
        <f>Table35[[#This Row],[Premises Costs]]/Table35[[#This Row],[Number of pupils (FTE)]]</f>
        <v>322.95719844357978</v>
      </c>
      <c r="BI89" s="598">
        <f>Table35[[#This Row],[Maintenance &amp; Improvement Costs]]/Table35[[#This Row],[Number of pupils (FTE)]]</f>
        <v>97.276264591439684</v>
      </c>
      <c r="BJ89" s="598" t="e">
        <f>#REF!/E89</f>
        <v>#REF!</v>
      </c>
      <c r="BK89" s="598">
        <f t="shared" si="11"/>
        <v>11.673151750972762</v>
      </c>
      <c r="BL89" s="598">
        <f t="shared" si="12"/>
        <v>19.455252918287936</v>
      </c>
      <c r="BM89" s="598">
        <f t="shared" si="13"/>
        <v>77.821011673151745</v>
      </c>
      <c r="BN89" s="598">
        <f t="shared" si="14"/>
        <v>198.44357976653697</v>
      </c>
      <c r="BO89" s="598">
        <f t="shared" si="15"/>
        <v>3.8910505836575875</v>
      </c>
      <c r="BP89" s="598">
        <f t="shared" si="16"/>
        <v>62.2568093385214</v>
      </c>
      <c r="BQ89" s="598">
        <f t="shared" si="17"/>
        <v>330.73929961089493</v>
      </c>
      <c r="BR89" s="598">
        <f t="shared" si="18"/>
        <v>202.33463035019454</v>
      </c>
      <c r="BS89" s="598">
        <f t="shared" si="19"/>
        <v>66.147859922178995</v>
      </c>
    </row>
    <row r="90" spans="1:71" ht="29" hidden="1" x14ac:dyDescent="0.35">
      <c r="A90" s="580">
        <v>925</v>
      </c>
      <c r="B90" s="580" t="s">
        <v>489</v>
      </c>
      <c r="C90" s="593" t="s">
        <v>612</v>
      </c>
      <c r="D90" s="593" t="s">
        <v>519</v>
      </c>
      <c r="E90" s="580">
        <v>206</v>
      </c>
      <c r="F90" s="580">
        <v>9.7899999999999991</v>
      </c>
      <c r="G90" s="580" t="s">
        <v>500</v>
      </c>
      <c r="H90" s="580">
        <v>18.7</v>
      </c>
      <c r="I90" s="580">
        <v>2.2999999999999998</v>
      </c>
      <c r="J90" s="580">
        <v>10.3</v>
      </c>
      <c r="K90" s="580">
        <v>0</v>
      </c>
      <c r="L90" s="581">
        <v>1295000</v>
      </c>
      <c r="M90" s="581">
        <v>1199000</v>
      </c>
      <c r="N90" s="582">
        <f>Table35[[#This Row],[Total Income]]-Table35[[#This Row],[Total Expenditure]]</f>
        <v>96000</v>
      </c>
      <c r="O90" s="581">
        <v>0</v>
      </c>
      <c r="Z90" s="581">
        <v>1004000</v>
      </c>
      <c r="AA90" s="595">
        <f>M90-Z90-Table35[[#This Row],[Maintenance &amp; Improvement]]-Table35[[#This Row],[Cleaning &amp; Caretaking]]-Table35[[#This Row],[Catering Supply]]</f>
        <v>143000</v>
      </c>
      <c r="AB90" s="581">
        <v>8000</v>
      </c>
      <c r="AC90" s="594">
        <v>8000</v>
      </c>
      <c r="AD90" s="594">
        <v>5000</v>
      </c>
      <c r="AE90" s="594">
        <v>36000</v>
      </c>
      <c r="AF90" s="594">
        <v>0</v>
      </c>
      <c r="AG90" s="581">
        <v>49000</v>
      </c>
      <c r="AH90" s="581">
        <v>39000</v>
      </c>
      <c r="AI90" s="596">
        <v>0</v>
      </c>
      <c r="AJ90" s="594">
        <v>39000</v>
      </c>
      <c r="AK90" s="594">
        <v>1000</v>
      </c>
      <c r="AL90" s="594">
        <v>7000</v>
      </c>
      <c r="AM90" s="594">
        <v>16000</v>
      </c>
      <c r="AN90" s="594">
        <v>0</v>
      </c>
      <c r="AO90" s="594">
        <v>2000</v>
      </c>
      <c r="AP90" s="581">
        <v>65000</v>
      </c>
      <c r="AQ90" s="594">
        <v>45000</v>
      </c>
      <c r="AR90" s="594">
        <v>3000</v>
      </c>
      <c r="AS90" s="594">
        <v>0</v>
      </c>
      <c r="AT90" s="594">
        <v>10000</v>
      </c>
      <c r="AU90" s="581">
        <v>81000</v>
      </c>
      <c r="AV90" s="594">
        <v>45000</v>
      </c>
      <c r="AW90" s="594">
        <v>3000</v>
      </c>
      <c r="AX90" s="594">
        <v>0</v>
      </c>
      <c r="AY90" s="581">
        <v>48000</v>
      </c>
      <c r="AZ90" s="594">
        <v>23000</v>
      </c>
      <c r="BA90" s="594">
        <v>0</v>
      </c>
      <c r="BB90" s="581">
        <v>23000</v>
      </c>
      <c r="BC90" s="597">
        <f>Table35[[#This Row],[Total Expenditure]]/Table35[[#This Row],[Number of pupils (FTE)]]</f>
        <v>5820.3883495145628</v>
      </c>
      <c r="BD90" s="598">
        <f>Table35[[#This Row],[Total Staff Costs]]/Table35[[#This Row],[Number of pupils (FTE)]]</f>
        <v>4873.7864077669901</v>
      </c>
      <c r="BE90" s="598">
        <f>Table35[[#This Row],[Teaching staff]]/Table35[[#This Row],[Number of teachers in academy (FTE)]]</f>
        <v>0</v>
      </c>
      <c r="BF90" s="599">
        <f>Table35[[#This Row],[Number of pupils (FTE)]]/Table35[[#This Row],[Number of teachers in academy (FTE)]]</f>
        <v>21.041879468845764</v>
      </c>
      <c r="BG90" s="600">
        <f t="shared" si="10"/>
        <v>694.17475728155341</v>
      </c>
      <c r="BH90" s="598">
        <f>Table35[[#This Row],[Premises Costs]]/Table35[[#This Row],[Number of pupils (FTE)]]</f>
        <v>237.86407766990291</v>
      </c>
      <c r="BI90" s="598">
        <f>Table35[[#This Row],[Maintenance &amp; Improvement Costs]]/Table35[[#This Row],[Number of pupils (FTE)]]</f>
        <v>38.834951456310677</v>
      </c>
      <c r="BJ90" s="598" t="e">
        <f>#REF!/E90</f>
        <v>#REF!</v>
      </c>
      <c r="BK90" s="598">
        <f t="shared" si="11"/>
        <v>4.8543689320388346</v>
      </c>
      <c r="BL90" s="598">
        <f t="shared" si="12"/>
        <v>33.980582524271846</v>
      </c>
      <c r="BM90" s="598">
        <f t="shared" si="13"/>
        <v>77.669902912621353</v>
      </c>
      <c r="BN90" s="598">
        <f t="shared" si="14"/>
        <v>218.44660194174756</v>
      </c>
      <c r="BO90" s="598">
        <f t="shared" si="15"/>
        <v>14.563106796116505</v>
      </c>
      <c r="BP90" s="598">
        <f t="shared" si="16"/>
        <v>48.543689320388353</v>
      </c>
      <c r="BQ90" s="598">
        <f t="shared" si="17"/>
        <v>393.20388349514565</v>
      </c>
      <c r="BR90" s="598">
        <f t="shared" si="18"/>
        <v>233.00970873786409</v>
      </c>
      <c r="BS90" s="598">
        <f t="shared" si="19"/>
        <v>111.65048543689321</v>
      </c>
    </row>
    <row r="91" spans="1:71" ht="43.5" hidden="1" x14ac:dyDescent="0.35">
      <c r="A91" s="580">
        <v>925</v>
      </c>
      <c r="B91" s="580" t="s">
        <v>489</v>
      </c>
      <c r="C91" s="593" t="s">
        <v>613</v>
      </c>
      <c r="D91" s="593" t="s">
        <v>614</v>
      </c>
      <c r="E91" s="580">
        <v>300</v>
      </c>
      <c r="F91" s="580">
        <v>14</v>
      </c>
      <c r="G91" s="580" t="s">
        <v>500</v>
      </c>
      <c r="H91" s="580">
        <v>13</v>
      </c>
      <c r="I91" s="580">
        <v>3</v>
      </c>
      <c r="J91" s="580">
        <v>9.3000000000000007</v>
      </c>
      <c r="K91" s="580">
        <v>0</v>
      </c>
      <c r="L91" s="581">
        <v>1790000</v>
      </c>
      <c r="M91" s="581">
        <v>1789000</v>
      </c>
      <c r="N91" s="582">
        <f>Table35[[#This Row],[Total Income]]-Table35[[#This Row],[Total Expenditure]]</f>
        <v>1000</v>
      </c>
      <c r="O91" s="581">
        <v>239000</v>
      </c>
      <c r="Z91" s="581">
        <v>1359000</v>
      </c>
      <c r="AA91" s="595">
        <f>M91-Z91-Table35[[#This Row],[Maintenance &amp; Improvement]]-Table35[[#This Row],[Cleaning &amp; Caretaking]]-Table35[[#This Row],[Catering Supply]]</f>
        <v>408000</v>
      </c>
      <c r="AB91" s="581">
        <v>22000</v>
      </c>
      <c r="AC91" s="594">
        <v>22000</v>
      </c>
      <c r="AD91" s="594">
        <v>0</v>
      </c>
      <c r="AE91" s="594">
        <v>66000</v>
      </c>
      <c r="AF91" s="594">
        <v>0</v>
      </c>
      <c r="AG91" s="581">
        <v>88000</v>
      </c>
      <c r="AH91" s="581">
        <v>42000</v>
      </c>
      <c r="AI91" s="596">
        <v>42000</v>
      </c>
      <c r="AJ91" s="594">
        <v>0</v>
      </c>
      <c r="AK91" s="594">
        <v>0</v>
      </c>
      <c r="AL91" s="594">
        <v>13000</v>
      </c>
      <c r="AM91" s="594">
        <v>22000</v>
      </c>
      <c r="AN91" s="594">
        <v>0</v>
      </c>
      <c r="AO91" s="594">
        <v>2000</v>
      </c>
      <c r="AP91" s="581">
        <v>79000</v>
      </c>
      <c r="AQ91" s="594">
        <v>81000</v>
      </c>
      <c r="AR91" s="594">
        <v>23000</v>
      </c>
      <c r="AS91" s="594">
        <v>0</v>
      </c>
      <c r="AT91" s="594">
        <v>136000</v>
      </c>
      <c r="AU91" s="581">
        <v>263000</v>
      </c>
      <c r="AV91" s="594">
        <v>81000</v>
      </c>
      <c r="AW91" s="594">
        <v>23000</v>
      </c>
      <c r="AX91" s="594">
        <v>0</v>
      </c>
      <c r="AY91" s="581">
        <v>104000</v>
      </c>
      <c r="AZ91" s="594">
        <v>0</v>
      </c>
      <c r="BA91" s="594">
        <v>23000</v>
      </c>
      <c r="BB91" s="581">
        <v>23000</v>
      </c>
      <c r="BC91" s="597">
        <f>Table35[[#This Row],[Total Expenditure]]/Table35[[#This Row],[Number of pupils (FTE)]]</f>
        <v>5963.333333333333</v>
      </c>
      <c r="BD91" s="598">
        <f>Table35[[#This Row],[Total Staff Costs]]/Table35[[#This Row],[Number of pupils (FTE)]]</f>
        <v>4530</v>
      </c>
      <c r="BE91" s="598">
        <f>Table35[[#This Row],[Teaching staff]]/Table35[[#This Row],[Number of teachers in academy (FTE)]]</f>
        <v>0</v>
      </c>
      <c r="BF91" s="599">
        <f>Table35[[#This Row],[Number of pupils (FTE)]]/Table35[[#This Row],[Number of teachers in academy (FTE)]]</f>
        <v>21.428571428571427</v>
      </c>
      <c r="BG91" s="600">
        <f t="shared" si="10"/>
        <v>1360</v>
      </c>
      <c r="BH91" s="598">
        <f>Table35[[#This Row],[Premises Costs]]/Table35[[#This Row],[Number of pupils (FTE)]]</f>
        <v>293.33333333333331</v>
      </c>
      <c r="BI91" s="598">
        <f>Table35[[#This Row],[Maintenance &amp; Improvement Costs]]/Table35[[#This Row],[Number of pupils (FTE)]]</f>
        <v>73.333333333333329</v>
      </c>
      <c r="BJ91" s="598" t="e">
        <f>#REF!/E91</f>
        <v>#REF!</v>
      </c>
      <c r="BK91" s="598">
        <f t="shared" si="11"/>
        <v>0</v>
      </c>
      <c r="BL91" s="598">
        <f t="shared" si="12"/>
        <v>43.333333333333336</v>
      </c>
      <c r="BM91" s="598">
        <f t="shared" si="13"/>
        <v>73.333333333333329</v>
      </c>
      <c r="BN91" s="598">
        <f t="shared" si="14"/>
        <v>270</v>
      </c>
      <c r="BO91" s="598">
        <f t="shared" si="15"/>
        <v>76.666666666666671</v>
      </c>
      <c r="BP91" s="598">
        <f t="shared" si="16"/>
        <v>453.33333333333331</v>
      </c>
      <c r="BQ91" s="598">
        <f t="shared" si="17"/>
        <v>876.66666666666663</v>
      </c>
      <c r="BR91" s="598">
        <f t="shared" si="18"/>
        <v>346.66666666666669</v>
      </c>
      <c r="BS91" s="598">
        <f t="shared" si="19"/>
        <v>76.666666666666671</v>
      </c>
    </row>
    <row r="92" spans="1:71" ht="29" hidden="1" x14ac:dyDescent="0.35">
      <c r="A92" s="580">
        <v>925</v>
      </c>
      <c r="B92" s="580" t="s">
        <v>489</v>
      </c>
      <c r="C92" s="593" t="s">
        <v>615</v>
      </c>
      <c r="D92" s="593" t="s">
        <v>555</v>
      </c>
      <c r="E92" s="580">
        <v>418</v>
      </c>
      <c r="F92" s="580">
        <v>16.399999999999999</v>
      </c>
      <c r="G92" s="580" t="s">
        <v>500</v>
      </c>
      <c r="H92" s="580">
        <v>25.8</v>
      </c>
      <c r="I92" s="580">
        <v>2.4</v>
      </c>
      <c r="J92" s="580">
        <v>16</v>
      </c>
      <c r="K92" s="580">
        <v>0</v>
      </c>
      <c r="L92" s="581">
        <v>2344000</v>
      </c>
      <c r="M92" s="581">
        <v>2103000</v>
      </c>
      <c r="N92" s="582">
        <f>Table35[[#This Row],[Total Income]]-Table35[[#This Row],[Total Expenditure]]</f>
        <v>241000</v>
      </c>
      <c r="O92" s="581">
        <v>0</v>
      </c>
      <c r="Z92" s="581">
        <v>1628000</v>
      </c>
      <c r="AA92" s="595">
        <f>M92-Z92-Table35[[#This Row],[Maintenance &amp; Improvement]]-Table35[[#This Row],[Cleaning &amp; Caretaking]]-Table35[[#This Row],[Catering Supply]]</f>
        <v>299000</v>
      </c>
      <c r="AB92" s="581">
        <v>37000</v>
      </c>
      <c r="AC92" s="594">
        <v>37000</v>
      </c>
      <c r="AD92" s="594">
        <v>14000</v>
      </c>
      <c r="AE92" s="594">
        <v>71000</v>
      </c>
      <c r="AF92" s="594">
        <v>0</v>
      </c>
      <c r="AG92" s="581">
        <v>122000</v>
      </c>
      <c r="AH92" s="581">
        <v>125000</v>
      </c>
      <c r="AI92" s="596">
        <v>0</v>
      </c>
      <c r="AJ92" s="594">
        <v>125000</v>
      </c>
      <c r="AK92" s="594">
        <v>5000</v>
      </c>
      <c r="AL92" s="594">
        <v>9000</v>
      </c>
      <c r="AM92" s="594">
        <v>46000</v>
      </c>
      <c r="AN92" s="594">
        <v>9000</v>
      </c>
      <c r="AO92" s="594">
        <v>6000</v>
      </c>
      <c r="AP92" s="581">
        <v>200000</v>
      </c>
      <c r="AQ92" s="594">
        <v>93000</v>
      </c>
      <c r="AR92" s="594">
        <v>2000</v>
      </c>
      <c r="AS92" s="594">
        <v>0</v>
      </c>
      <c r="AT92" s="594">
        <v>36000</v>
      </c>
      <c r="AU92" s="581">
        <v>153000</v>
      </c>
      <c r="AV92" s="594">
        <v>93000</v>
      </c>
      <c r="AW92" s="594">
        <v>2000</v>
      </c>
      <c r="AX92" s="594">
        <v>0</v>
      </c>
      <c r="AY92" s="581">
        <v>95000</v>
      </c>
      <c r="AZ92" s="594">
        <v>10000</v>
      </c>
      <c r="BA92" s="594">
        <v>12000</v>
      </c>
      <c r="BB92" s="581">
        <v>22000</v>
      </c>
      <c r="BC92" s="597">
        <f>Table35[[#This Row],[Total Expenditure]]/Table35[[#This Row],[Number of pupils (FTE)]]</f>
        <v>5031.1004784688994</v>
      </c>
      <c r="BD92" s="598">
        <f>Table35[[#This Row],[Total Staff Costs]]/Table35[[#This Row],[Number of pupils (FTE)]]</f>
        <v>3894.7368421052633</v>
      </c>
      <c r="BE92" s="598">
        <f>Table35[[#This Row],[Teaching staff]]/Table35[[#This Row],[Number of teachers in academy (FTE)]]</f>
        <v>0</v>
      </c>
      <c r="BF92" s="599">
        <f>Table35[[#This Row],[Number of pupils (FTE)]]/Table35[[#This Row],[Number of teachers in academy (FTE)]]</f>
        <v>25.487804878048781</v>
      </c>
      <c r="BG92" s="600">
        <f t="shared" si="10"/>
        <v>715.31100478468898</v>
      </c>
      <c r="BH92" s="598">
        <f>Table35[[#This Row],[Premises Costs]]/Table35[[#This Row],[Number of pupils (FTE)]]</f>
        <v>291.86602870813397</v>
      </c>
      <c r="BI92" s="598">
        <f>Table35[[#This Row],[Maintenance &amp; Improvement Costs]]/Table35[[#This Row],[Number of pupils (FTE)]]</f>
        <v>88.516746411483254</v>
      </c>
      <c r="BJ92" s="598" t="e">
        <f>#REF!/E92</f>
        <v>#REF!</v>
      </c>
      <c r="BK92" s="598">
        <f t="shared" si="11"/>
        <v>11.961722488038278</v>
      </c>
      <c r="BL92" s="598">
        <f t="shared" si="12"/>
        <v>21.5311004784689</v>
      </c>
      <c r="BM92" s="598">
        <f t="shared" si="13"/>
        <v>110.04784688995215</v>
      </c>
      <c r="BN92" s="598">
        <f t="shared" si="14"/>
        <v>222.48803827751198</v>
      </c>
      <c r="BO92" s="598">
        <f t="shared" si="15"/>
        <v>4.7846889952153111</v>
      </c>
      <c r="BP92" s="598">
        <f t="shared" si="16"/>
        <v>86.124401913875602</v>
      </c>
      <c r="BQ92" s="598">
        <f t="shared" si="17"/>
        <v>366.02870813397129</v>
      </c>
      <c r="BR92" s="598">
        <f t="shared" si="18"/>
        <v>227.27272727272728</v>
      </c>
      <c r="BS92" s="598">
        <f t="shared" si="19"/>
        <v>52.631578947368418</v>
      </c>
    </row>
    <row r="93" spans="1:71" ht="29" hidden="1" x14ac:dyDescent="0.35">
      <c r="A93" s="580">
        <v>925</v>
      </c>
      <c r="B93" s="580" t="s">
        <v>489</v>
      </c>
      <c r="C93" s="593" t="s">
        <v>616</v>
      </c>
      <c r="D93" s="593" t="s">
        <v>555</v>
      </c>
      <c r="E93" s="580">
        <v>395</v>
      </c>
      <c r="F93" s="580">
        <v>17.5</v>
      </c>
      <c r="G93" s="580" t="s">
        <v>500</v>
      </c>
      <c r="H93" s="580">
        <v>22.5</v>
      </c>
      <c r="I93" s="580">
        <v>1.5</v>
      </c>
      <c r="J93" s="580">
        <v>8.9</v>
      </c>
      <c r="K93" s="580">
        <v>0</v>
      </c>
      <c r="L93" s="581">
        <v>2275000</v>
      </c>
      <c r="M93" s="581">
        <v>2066000</v>
      </c>
      <c r="N93" s="582">
        <f>Table35[[#This Row],[Total Income]]-Table35[[#This Row],[Total Expenditure]]</f>
        <v>209000</v>
      </c>
      <c r="O93" s="581">
        <v>0</v>
      </c>
      <c r="Z93" s="581">
        <v>1587000</v>
      </c>
      <c r="AA93" s="595">
        <f>M93-Z93-Table35[[#This Row],[Maintenance &amp; Improvement]]-Table35[[#This Row],[Cleaning &amp; Caretaking]]-Table35[[#This Row],[Catering Supply]]</f>
        <v>340000</v>
      </c>
      <c r="AB93" s="581">
        <v>2000</v>
      </c>
      <c r="AC93" s="594">
        <v>2000</v>
      </c>
      <c r="AD93" s="594">
        <v>17000</v>
      </c>
      <c r="AE93" s="594">
        <v>91000</v>
      </c>
      <c r="AF93" s="594">
        <v>0</v>
      </c>
      <c r="AG93" s="581">
        <v>110000</v>
      </c>
      <c r="AH93" s="581">
        <v>120000</v>
      </c>
      <c r="AI93" s="596">
        <v>0</v>
      </c>
      <c r="AJ93" s="594">
        <v>120000</v>
      </c>
      <c r="AK93" s="594">
        <v>4000</v>
      </c>
      <c r="AL93" s="594">
        <v>5000</v>
      </c>
      <c r="AM93" s="594">
        <v>39000</v>
      </c>
      <c r="AN93" s="594">
        <v>9000</v>
      </c>
      <c r="AO93" s="594">
        <v>13000</v>
      </c>
      <c r="AP93" s="581">
        <v>190000</v>
      </c>
      <c r="AQ93" s="594">
        <v>59000</v>
      </c>
      <c r="AR93" s="594">
        <v>32000</v>
      </c>
      <c r="AS93" s="594">
        <v>0</v>
      </c>
      <c r="AT93" s="594">
        <v>44000</v>
      </c>
      <c r="AU93" s="581">
        <v>179000</v>
      </c>
      <c r="AV93" s="594">
        <v>59000</v>
      </c>
      <c r="AW93" s="594">
        <v>32000</v>
      </c>
      <c r="AX93" s="594">
        <v>0</v>
      </c>
      <c r="AY93" s="581">
        <v>91000</v>
      </c>
      <c r="AZ93" s="594">
        <v>44000</v>
      </c>
      <c r="BA93" s="594">
        <v>0</v>
      </c>
      <c r="BB93" s="581">
        <v>44000</v>
      </c>
      <c r="BC93" s="597">
        <f>Table35[[#This Row],[Total Expenditure]]/Table35[[#This Row],[Number of pupils (FTE)]]</f>
        <v>5230.3797468354433</v>
      </c>
      <c r="BD93" s="598">
        <f>Table35[[#This Row],[Total Staff Costs]]/Table35[[#This Row],[Number of pupils (FTE)]]</f>
        <v>4017.7215189873418</v>
      </c>
      <c r="BE93" s="598">
        <f>Table35[[#This Row],[Teaching staff]]/Table35[[#This Row],[Number of teachers in academy (FTE)]]</f>
        <v>0</v>
      </c>
      <c r="BF93" s="599">
        <f>Table35[[#This Row],[Number of pupils (FTE)]]/Table35[[#This Row],[Number of teachers in academy (FTE)]]</f>
        <v>22.571428571428573</v>
      </c>
      <c r="BG93" s="600">
        <f t="shared" si="10"/>
        <v>860.75949367088606</v>
      </c>
      <c r="BH93" s="598">
        <f>Table35[[#This Row],[Premises Costs]]/Table35[[#This Row],[Number of pupils (FTE)]]</f>
        <v>278.48101265822783</v>
      </c>
      <c r="BI93" s="598">
        <f>Table35[[#This Row],[Maintenance &amp; Improvement Costs]]/Table35[[#This Row],[Number of pupils (FTE)]]</f>
        <v>5.0632911392405067</v>
      </c>
      <c r="BJ93" s="598" t="e">
        <f>#REF!/E93</f>
        <v>#REF!</v>
      </c>
      <c r="BK93" s="598">
        <f t="shared" si="11"/>
        <v>10.126582278481013</v>
      </c>
      <c r="BL93" s="598">
        <f t="shared" si="12"/>
        <v>12.658227848101266</v>
      </c>
      <c r="BM93" s="598">
        <f t="shared" si="13"/>
        <v>98.734177215189874</v>
      </c>
      <c r="BN93" s="598">
        <f t="shared" si="14"/>
        <v>149.36708860759492</v>
      </c>
      <c r="BO93" s="598">
        <f t="shared" si="15"/>
        <v>81.012658227848107</v>
      </c>
      <c r="BP93" s="598">
        <f t="shared" si="16"/>
        <v>111.39240506329114</v>
      </c>
      <c r="BQ93" s="598">
        <f t="shared" si="17"/>
        <v>453.1645569620253</v>
      </c>
      <c r="BR93" s="598">
        <f t="shared" si="18"/>
        <v>230.37974683544303</v>
      </c>
      <c r="BS93" s="598">
        <f t="shared" si="19"/>
        <v>111.39240506329114</v>
      </c>
    </row>
    <row r="94" spans="1:71" ht="29" hidden="1" x14ac:dyDescent="0.35">
      <c r="A94" s="580">
        <v>925</v>
      </c>
      <c r="B94" s="580" t="s">
        <v>489</v>
      </c>
      <c r="C94" s="593" t="s">
        <v>617</v>
      </c>
      <c r="D94" s="593" t="s">
        <v>519</v>
      </c>
      <c r="E94" s="580">
        <v>196</v>
      </c>
      <c r="F94" s="580">
        <v>7.63</v>
      </c>
      <c r="G94" s="580" t="s">
        <v>500</v>
      </c>
      <c r="H94" s="580">
        <v>30.6</v>
      </c>
      <c r="I94" s="580">
        <v>3.6</v>
      </c>
      <c r="J94" s="580">
        <v>7.7</v>
      </c>
      <c r="K94" s="580">
        <v>0</v>
      </c>
      <c r="L94" s="581">
        <v>1280000</v>
      </c>
      <c r="M94" s="581">
        <v>1030000</v>
      </c>
      <c r="N94" s="582">
        <f>Table35[[#This Row],[Total Income]]-Table35[[#This Row],[Total Expenditure]]</f>
        <v>250000</v>
      </c>
      <c r="O94" s="581">
        <v>0</v>
      </c>
      <c r="Z94" s="581">
        <v>829000</v>
      </c>
      <c r="AA94" s="595">
        <f>M94-Z94-Table35[[#This Row],[Maintenance &amp; Improvement]]-Table35[[#This Row],[Cleaning &amp; Caretaking]]-Table35[[#This Row],[Catering Supply]]</f>
        <v>136000</v>
      </c>
      <c r="AB94" s="581">
        <v>11000</v>
      </c>
      <c r="AC94" s="594">
        <v>11000</v>
      </c>
      <c r="AD94" s="594">
        <v>2000</v>
      </c>
      <c r="AE94" s="594">
        <v>38000</v>
      </c>
      <c r="AF94" s="594">
        <v>0</v>
      </c>
      <c r="AG94" s="581">
        <v>51000</v>
      </c>
      <c r="AH94" s="581">
        <v>52000</v>
      </c>
      <c r="AI94" s="596">
        <v>0</v>
      </c>
      <c r="AJ94" s="594">
        <v>52000</v>
      </c>
      <c r="AK94" s="594">
        <v>2000</v>
      </c>
      <c r="AL94" s="594">
        <v>4000</v>
      </c>
      <c r="AM94" s="594">
        <v>17000</v>
      </c>
      <c r="AN94" s="594">
        <v>0</v>
      </c>
      <c r="AO94" s="594">
        <v>2000</v>
      </c>
      <c r="AP94" s="581">
        <v>77000</v>
      </c>
      <c r="AQ94" s="594">
        <v>40000</v>
      </c>
      <c r="AR94" s="594">
        <v>5000</v>
      </c>
      <c r="AS94" s="594">
        <v>0</v>
      </c>
      <c r="AT94" s="594">
        <v>5000</v>
      </c>
      <c r="AU94" s="581">
        <v>73000</v>
      </c>
      <c r="AV94" s="594">
        <v>40000</v>
      </c>
      <c r="AW94" s="594">
        <v>5000</v>
      </c>
      <c r="AX94" s="594">
        <v>0</v>
      </c>
      <c r="AY94" s="581">
        <v>45000</v>
      </c>
      <c r="AZ94" s="594">
        <v>23000</v>
      </c>
      <c r="BA94" s="594">
        <v>0</v>
      </c>
      <c r="BB94" s="581">
        <v>23000</v>
      </c>
      <c r="BC94" s="597">
        <f>Table35[[#This Row],[Total Expenditure]]/Table35[[#This Row],[Number of pupils (FTE)]]</f>
        <v>5255.1020408163267</v>
      </c>
      <c r="BD94" s="598">
        <f>Table35[[#This Row],[Total Staff Costs]]/Table35[[#This Row],[Number of pupils (FTE)]]</f>
        <v>4229.591836734694</v>
      </c>
      <c r="BE94" s="598">
        <f>Table35[[#This Row],[Teaching staff]]/Table35[[#This Row],[Number of teachers in academy (FTE)]]</f>
        <v>0</v>
      </c>
      <c r="BF94" s="599">
        <f>Table35[[#This Row],[Number of pupils (FTE)]]/Table35[[#This Row],[Number of teachers in academy (FTE)]]</f>
        <v>25.688073394495412</v>
      </c>
      <c r="BG94" s="600">
        <f t="shared" si="10"/>
        <v>693.87755102040819</v>
      </c>
      <c r="BH94" s="598">
        <f>Table35[[#This Row],[Premises Costs]]/Table35[[#This Row],[Number of pupils (FTE)]]</f>
        <v>260.20408163265307</v>
      </c>
      <c r="BI94" s="598">
        <f>Table35[[#This Row],[Maintenance &amp; Improvement Costs]]/Table35[[#This Row],[Number of pupils (FTE)]]</f>
        <v>56.122448979591837</v>
      </c>
      <c r="BJ94" s="598" t="e">
        <f>#REF!/E94</f>
        <v>#REF!</v>
      </c>
      <c r="BK94" s="598">
        <f t="shared" si="11"/>
        <v>10.204081632653061</v>
      </c>
      <c r="BL94" s="598">
        <f t="shared" si="12"/>
        <v>20.408163265306122</v>
      </c>
      <c r="BM94" s="598">
        <f t="shared" si="13"/>
        <v>86.734693877551024</v>
      </c>
      <c r="BN94" s="598">
        <f t="shared" si="14"/>
        <v>204.08163265306123</v>
      </c>
      <c r="BO94" s="598">
        <f t="shared" si="15"/>
        <v>25.510204081632654</v>
      </c>
      <c r="BP94" s="598">
        <f t="shared" si="16"/>
        <v>25.510204081632654</v>
      </c>
      <c r="BQ94" s="598">
        <f t="shared" si="17"/>
        <v>372.44897959183675</v>
      </c>
      <c r="BR94" s="598">
        <f t="shared" si="18"/>
        <v>229.59183673469389</v>
      </c>
      <c r="BS94" s="598">
        <f t="shared" si="19"/>
        <v>117.34693877551021</v>
      </c>
    </row>
    <row r="95" spans="1:71" ht="29" hidden="1" x14ac:dyDescent="0.35">
      <c r="A95" s="580">
        <v>925</v>
      </c>
      <c r="B95" s="580" t="s">
        <v>489</v>
      </c>
      <c r="C95" s="593" t="s">
        <v>618</v>
      </c>
      <c r="D95" s="593" t="s">
        <v>519</v>
      </c>
      <c r="E95" s="580">
        <v>271</v>
      </c>
      <c r="F95" s="580">
        <v>12.56</v>
      </c>
      <c r="G95" s="580" t="s">
        <v>500</v>
      </c>
      <c r="H95" s="580">
        <v>29.5</v>
      </c>
      <c r="I95" s="580">
        <v>3.7</v>
      </c>
      <c r="J95" s="580">
        <v>16.600000000000001</v>
      </c>
      <c r="K95" s="580">
        <v>0</v>
      </c>
      <c r="L95" s="581">
        <v>1847000</v>
      </c>
      <c r="M95" s="581">
        <v>1739000</v>
      </c>
      <c r="N95" s="582">
        <f>Table35[[#This Row],[Total Income]]-Table35[[#This Row],[Total Expenditure]]</f>
        <v>108000</v>
      </c>
      <c r="O95" s="581">
        <v>0</v>
      </c>
      <c r="Z95" s="581">
        <v>1414000</v>
      </c>
      <c r="AA95" s="595">
        <f>M95-Z95-Table35[[#This Row],[Maintenance &amp; Improvement]]-Table35[[#This Row],[Cleaning &amp; Caretaking]]-Table35[[#This Row],[Catering Supply]]</f>
        <v>225000</v>
      </c>
      <c r="AB95" s="581">
        <v>13000</v>
      </c>
      <c r="AC95" s="594">
        <v>13000</v>
      </c>
      <c r="AD95" s="594">
        <v>5000</v>
      </c>
      <c r="AE95" s="594">
        <v>62000</v>
      </c>
      <c r="AF95" s="594">
        <v>0</v>
      </c>
      <c r="AG95" s="581">
        <v>80000</v>
      </c>
      <c r="AH95" s="581">
        <v>109000</v>
      </c>
      <c r="AI95" s="596">
        <v>27000</v>
      </c>
      <c r="AJ95" s="594">
        <v>82000</v>
      </c>
      <c r="AK95" s="594">
        <v>4000</v>
      </c>
      <c r="AL95" s="594">
        <v>12000</v>
      </c>
      <c r="AM95" s="594">
        <v>39000</v>
      </c>
      <c r="AN95" s="594">
        <v>0</v>
      </c>
      <c r="AO95" s="594">
        <v>4000</v>
      </c>
      <c r="AP95" s="581">
        <v>168000</v>
      </c>
      <c r="AQ95" s="594">
        <v>49000</v>
      </c>
      <c r="AR95" s="594">
        <v>2000</v>
      </c>
      <c r="AS95" s="594">
        <v>0</v>
      </c>
      <c r="AT95" s="594">
        <v>5000</v>
      </c>
      <c r="AU95" s="581">
        <v>77000</v>
      </c>
      <c r="AV95" s="594">
        <v>49000</v>
      </c>
      <c r="AW95" s="594">
        <v>2000</v>
      </c>
      <c r="AX95" s="594">
        <v>0</v>
      </c>
      <c r="AY95" s="581">
        <v>51000</v>
      </c>
      <c r="AZ95" s="594">
        <v>20000</v>
      </c>
      <c r="BA95" s="594">
        <v>1000</v>
      </c>
      <c r="BB95" s="581">
        <v>21000</v>
      </c>
      <c r="BC95" s="597">
        <f>Table35[[#This Row],[Total Expenditure]]/Table35[[#This Row],[Number of pupils (FTE)]]</f>
        <v>6416.9741697416976</v>
      </c>
      <c r="BD95" s="598">
        <f>Table35[[#This Row],[Total Staff Costs]]/Table35[[#This Row],[Number of pupils (FTE)]]</f>
        <v>5217.7121771217708</v>
      </c>
      <c r="BE95" s="598">
        <f>Table35[[#This Row],[Teaching staff]]/Table35[[#This Row],[Number of teachers in academy (FTE)]]</f>
        <v>0</v>
      </c>
      <c r="BF95" s="599">
        <f>Table35[[#This Row],[Number of pupils (FTE)]]/Table35[[#This Row],[Number of teachers in academy (FTE)]]</f>
        <v>21.576433121019107</v>
      </c>
      <c r="BG95" s="600">
        <f t="shared" si="10"/>
        <v>830.25830258302585</v>
      </c>
      <c r="BH95" s="598">
        <f>Table35[[#This Row],[Premises Costs]]/Table35[[#This Row],[Number of pupils (FTE)]]</f>
        <v>295.2029520295203</v>
      </c>
      <c r="BI95" s="598">
        <f>Table35[[#This Row],[Maintenance &amp; Improvement Costs]]/Table35[[#This Row],[Number of pupils (FTE)]]</f>
        <v>47.97047970479705</v>
      </c>
      <c r="BJ95" s="598" t="e">
        <f>#REF!/E95</f>
        <v>#REF!</v>
      </c>
      <c r="BK95" s="598">
        <f t="shared" si="11"/>
        <v>14.760147601476016</v>
      </c>
      <c r="BL95" s="598">
        <f t="shared" si="12"/>
        <v>44.280442804428041</v>
      </c>
      <c r="BM95" s="598">
        <f t="shared" si="13"/>
        <v>143.91143911439116</v>
      </c>
      <c r="BN95" s="598">
        <f t="shared" si="14"/>
        <v>180.81180811808119</v>
      </c>
      <c r="BO95" s="598">
        <f t="shared" si="15"/>
        <v>7.3800738007380078</v>
      </c>
      <c r="BP95" s="598">
        <f t="shared" si="16"/>
        <v>18.450184501845019</v>
      </c>
      <c r="BQ95" s="598">
        <f t="shared" si="17"/>
        <v>284.13284132841329</v>
      </c>
      <c r="BR95" s="598">
        <f t="shared" si="18"/>
        <v>188.19188191881918</v>
      </c>
      <c r="BS95" s="598">
        <f t="shared" si="19"/>
        <v>77.490774907749071</v>
      </c>
    </row>
    <row r="96" spans="1:71" ht="29" hidden="1" x14ac:dyDescent="0.35">
      <c r="A96" s="580">
        <v>925</v>
      </c>
      <c r="B96" s="580" t="s">
        <v>489</v>
      </c>
      <c r="C96" s="593" t="s">
        <v>619</v>
      </c>
      <c r="D96" s="593" t="s">
        <v>519</v>
      </c>
      <c r="E96" s="580">
        <v>88</v>
      </c>
      <c r="F96" s="580">
        <v>3.91</v>
      </c>
      <c r="G96" s="580" t="s">
        <v>500</v>
      </c>
      <c r="H96" s="580">
        <v>15.9</v>
      </c>
      <c r="I96" s="580">
        <v>4.5</v>
      </c>
      <c r="J96" s="580">
        <v>23.9</v>
      </c>
      <c r="K96" s="580">
        <v>0</v>
      </c>
      <c r="L96" s="581">
        <v>760000</v>
      </c>
      <c r="M96" s="581">
        <v>721000</v>
      </c>
      <c r="N96" s="582">
        <f>Table35[[#This Row],[Total Income]]-Table35[[#This Row],[Total Expenditure]]</f>
        <v>39000</v>
      </c>
      <c r="O96" s="581">
        <v>0</v>
      </c>
      <c r="Z96" s="581">
        <v>597000</v>
      </c>
      <c r="AA96" s="595">
        <f>M96-Z96-Table35[[#This Row],[Maintenance &amp; Improvement]]-Table35[[#This Row],[Cleaning &amp; Caretaking]]-Table35[[#This Row],[Catering Supply]]</f>
        <v>90000</v>
      </c>
      <c r="AB96" s="581">
        <v>8000</v>
      </c>
      <c r="AC96" s="594">
        <v>8000</v>
      </c>
      <c r="AD96" s="594">
        <v>2000</v>
      </c>
      <c r="AE96" s="594">
        <v>31000</v>
      </c>
      <c r="AF96" s="594">
        <v>0</v>
      </c>
      <c r="AG96" s="581">
        <v>41000</v>
      </c>
      <c r="AH96" s="581">
        <v>24000</v>
      </c>
      <c r="AI96" s="596">
        <v>0</v>
      </c>
      <c r="AJ96" s="594">
        <v>24000</v>
      </c>
      <c r="AK96" s="594">
        <v>2000</v>
      </c>
      <c r="AL96" s="594">
        <v>4000</v>
      </c>
      <c r="AM96" s="594">
        <v>10000</v>
      </c>
      <c r="AN96" s="594">
        <v>0</v>
      </c>
      <c r="AO96" s="594">
        <v>1000</v>
      </c>
      <c r="AP96" s="581">
        <v>41000</v>
      </c>
      <c r="AQ96" s="594">
        <v>21000</v>
      </c>
      <c r="AR96" s="594">
        <v>2000</v>
      </c>
      <c r="AS96" s="594">
        <v>0</v>
      </c>
      <c r="AT96" s="594">
        <v>3000</v>
      </c>
      <c r="AU96" s="581">
        <v>42000</v>
      </c>
      <c r="AV96" s="594">
        <v>21000</v>
      </c>
      <c r="AW96" s="594">
        <v>2000</v>
      </c>
      <c r="AX96" s="594">
        <v>0</v>
      </c>
      <c r="AY96" s="581">
        <v>23000</v>
      </c>
      <c r="AZ96" s="594">
        <v>16000</v>
      </c>
      <c r="BA96" s="594">
        <v>0</v>
      </c>
      <c r="BB96" s="581">
        <v>16000</v>
      </c>
      <c r="BC96" s="597">
        <f>Table35[[#This Row],[Total Expenditure]]/Table35[[#This Row],[Number of pupils (FTE)]]</f>
        <v>8193.181818181818</v>
      </c>
      <c r="BD96" s="598">
        <f>Table35[[#This Row],[Total Staff Costs]]/Table35[[#This Row],[Number of pupils (FTE)]]</f>
        <v>6784.090909090909</v>
      </c>
      <c r="BE96" s="598">
        <f>Table35[[#This Row],[Teaching staff]]/Table35[[#This Row],[Number of teachers in academy (FTE)]]</f>
        <v>0</v>
      </c>
      <c r="BF96" s="599">
        <f>Table35[[#This Row],[Number of pupils (FTE)]]/Table35[[#This Row],[Number of teachers in academy (FTE)]]</f>
        <v>22.506393861892583</v>
      </c>
      <c r="BG96" s="600">
        <f t="shared" si="10"/>
        <v>1022.7272727272727</v>
      </c>
      <c r="BH96" s="598">
        <f>Table35[[#This Row],[Premises Costs]]/Table35[[#This Row],[Number of pupils (FTE)]]</f>
        <v>465.90909090909093</v>
      </c>
      <c r="BI96" s="598">
        <f>Table35[[#This Row],[Maintenance &amp; Improvement Costs]]/Table35[[#This Row],[Number of pupils (FTE)]]</f>
        <v>90.909090909090907</v>
      </c>
      <c r="BJ96" s="598" t="e">
        <f>#REF!/E96</f>
        <v>#REF!</v>
      </c>
      <c r="BK96" s="598">
        <f t="shared" si="11"/>
        <v>22.727272727272727</v>
      </c>
      <c r="BL96" s="598">
        <f t="shared" si="12"/>
        <v>45.454545454545453</v>
      </c>
      <c r="BM96" s="598">
        <f t="shared" si="13"/>
        <v>113.63636363636364</v>
      </c>
      <c r="BN96" s="598">
        <f t="shared" si="14"/>
        <v>238.63636363636363</v>
      </c>
      <c r="BO96" s="598">
        <f t="shared" si="15"/>
        <v>22.727272727272727</v>
      </c>
      <c r="BP96" s="598">
        <f t="shared" si="16"/>
        <v>34.090909090909093</v>
      </c>
      <c r="BQ96" s="598">
        <f t="shared" si="17"/>
        <v>477.27272727272725</v>
      </c>
      <c r="BR96" s="598">
        <f t="shared" si="18"/>
        <v>261.36363636363637</v>
      </c>
      <c r="BS96" s="598">
        <f t="shared" si="19"/>
        <v>181.81818181818181</v>
      </c>
    </row>
    <row r="97" spans="1:71" ht="43.5" hidden="1" x14ac:dyDescent="0.35">
      <c r="A97" s="580">
        <v>925</v>
      </c>
      <c r="B97" s="580" t="s">
        <v>489</v>
      </c>
      <c r="C97" s="593" t="s">
        <v>620</v>
      </c>
      <c r="D97" s="593" t="s">
        <v>621</v>
      </c>
      <c r="E97" s="580">
        <v>381</v>
      </c>
      <c r="F97" s="580">
        <v>19.96</v>
      </c>
      <c r="G97" s="580" t="s">
        <v>500</v>
      </c>
      <c r="H97" s="580">
        <v>20.2</v>
      </c>
      <c r="I97" s="580">
        <v>2.4</v>
      </c>
      <c r="J97" s="580">
        <v>7.6</v>
      </c>
      <c r="K97" s="580">
        <v>0</v>
      </c>
      <c r="L97" s="581">
        <v>2266000</v>
      </c>
      <c r="M97" s="581">
        <v>2111000</v>
      </c>
      <c r="N97" s="582">
        <f>Table35[[#This Row],[Total Income]]-Table35[[#This Row],[Total Expenditure]]</f>
        <v>155000</v>
      </c>
      <c r="O97" s="581">
        <v>675000</v>
      </c>
      <c r="Z97" s="581">
        <v>1627000</v>
      </c>
      <c r="AA97" s="595">
        <f>M97-Z97-Table35[[#This Row],[Maintenance &amp; Improvement]]-Table35[[#This Row],[Cleaning &amp; Caretaking]]-Table35[[#This Row],[Catering Supply]]</f>
        <v>276000</v>
      </c>
      <c r="AB97" s="581">
        <v>51000</v>
      </c>
      <c r="AC97" s="594">
        <v>51000</v>
      </c>
      <c r="AD97" s="594">
        <v>79000</v>
      </c>
      <c r="AE97" s="594">
        <v>7000</v>
      </c>
      <c r="AF97" s="594">
        <v>0</v>
      </c>
      <c r="AG97" s="581">
        <v>137000</v>
      </c>
      <c r="AH97" s="581">
        <v>107000</v>
      </c>
      <c r="AI97" s="596">
        <v>29000</v>
      </c>
      <c r="AJ97" s="594">
        <v>78000</v>
      </c>
      <c r="AK97" s="594">
        <v>0</v>
      </c>
      <c r="AL97" s="594">
        <v>11000</v>
      </c>
      <c r="AM97" s="594">
        <v>26000</v>
      </c>
      <c r="AN97" s="594">
        <v>0</v>
      </c>
      <c r="AO97" s="594">
        <v>0</v>
      </c>
      <c r="AP97" s="581">
        <v>144000</v>
      </c>
      <c r="AQ97" s="594">
        <v>143000</v>
      </c>
      <c r="AR97" s="594">
        <v>10000</v>
      </c>
      <c r="AS97" s="594">
        <v>0</v>
      </c>
      <c r="AT97" s="594">
        <v>14000</v>
      </c>
      <c r="AU97" s="581">
        <v>203000</v>
      </c>
      <c r="AV97" s="594">
        <v>143000</v>
      </c>
      <c r="AW97" s="594">
        <v>10000</v>
      </c>
      <c r="AX97" s="594">
        <v>0</v>
      </c>
      <c r="AY97" s="581">
        <v>153000</v>
      </c>
      <c r="AZ97" s="594">
        <v>4000</v>
      </c>
      <c r="BA97" s="594">
        <v>32000</v>
      </c>
      <c r="BB97" s="581">
        <v>36000</v>
      </c>
      <c r="BC97" s="597">
        <f>Table35[[#This Row],[Total Expenditure]]/Table35[[#This Row],[Number of pupils (FTE)]]</f>
        <v>5540.6824146981626</v>
      </c>
      <c r="BD97" s="598">
        <f>Table35[[#This Row],[Total Staff Costs]]/Table35[[#This Row],[Number of pupils (FTE)]]</f>
        <v>4270.3412073490817</v>
      </c>
      <c r="BE97" s="598">
        <f>Table35[[#This Row],[Teaching staff]]/Table35[[#This Row],[Number of teachers in academy (FTE)]]</f>
        <v>0</v>
      </c>
      <c r="BF97" s="599">
        <f>Table35[[#This Row],[Number of pupils (FTE)]]/Table35[[#This Row],[Number of teachers in academy (FTE)]]</f>
        <v>19.08817635270541</v>
      </c>
      <c r="BG97" s="600">
        <f t="shared" si="10"/>
        <v>724.40944881889766</v>
      </c>
      <c r="BH97" s="598">
        <f>Table35[[#This Row],[Premises Costs]]/Table35[[#This Row],[Number of pupils (FTE)]]</f>
        <v>359.5800524934383</v>
      </c>
      <c r="BI97" s="598">
        <f>Table35[[#This Row],[Maintenance &amp; Improvement Costs]]/Table35[[#This Row],[Number of pupils (FTE)]]</f>
        <v>133.85826771653544</v>
      </c>
      <c r="BJ97" s="598" t="e">
        <f>#REF!/E97</f>
        <v>#REF!</v>
      </c>
      <c r="BK97" s="598">
        <f t="shared" si="11"/>
        <v>0</v>
      </c>
      <c r="BL97" s="598">
        <f t="shared" si="12"/>
        <v>28.871391076115486</v>
      </c>
      <c r="BM97" s="598">
        <f t="shared" si="13"/>
        <v>68.241469816272968</v>
      </c>
      <c r="BN97" s="598">
        <f t="shared" si="14"/>
        <v>375.32808398950129</v>
      </c>
      <c r="BO97" s="598">
        <f t="shared" si="15"/>
        <v>26.246719160104988</v>
      </c>
      <c r="BP97" s="598">
        <f t="shared" si="16"/>
        <v>36.745406824146983</v>
      </c>
      <c r="BQ97" s="598">
        <f t="shared" si="17"/>
        <v>532.80839895013128</v>
      </c>
      <c r="BR97" s="598">
        <f t="shared" si="18"/>
        <v>401.57480314960628</v>
      </c>
      <c r="BS97" s="598">
        <f t="shared" si="19"/>
        <v>94.488188976377955</v>
      </c>
    </row>
    <row r="98" spans="1:71" ht="43.5" hidden="1" x14ac:dyDescent="0.35">
      <c r="A98" s="580">
        <v>925</v>
      </c>
      <c r="B98" s="580" t="s">
        <v>489</v>
      </c>
      <c r="C98" s="593" t="s">
        <v>622</v>
      </c>
      <c r="D98" s="593" t="s">
        <v>623</v>
      </c>
      <c r="E98" s="580">
        <v>288</v>
      </c>
      <c r="F98" s="580">
        <v>12.1</v>
      </c>
      <c r="G98" s="580" t="s">
        <v>500</v>
      </c>
      <c r="H98" s="580">
        <v>3.5</v>
      </c>
      <c r="I98" s="580">
        <v>2.4</v>
      </c>
      <c r="J98" s="580">
        <v>18.100000000000001</v>
      </c>
      <c r="K98" s="580">
        <v>0</v>
      </c>
      <c r="L98" s="581">
        <v>1661000</v>
      </c>
      <c r="M98" s="581">
        <v>1619000</v>
      </c>
      <c r="N98" s="582">
        <f>Table35[[#This Row],[Total Income]]-Table35[[#This Row],[Total Expenditure]]</f>
        <v>42000</v>
      </c>
      <c r="O98" s="581">
        <v>440000</v>
      </c>
      <c r="Z98" s="581">
        <v>1227000</v>
      </c>
      <c r="AA98" s="595">
        <f>M98-Z98-Table35[[#This Row],[Maintenance &amp; Improvement]]-Table35[[#This Row],[Cleaning &amp; Caretaking]]-Table35[[#This Row],[Catering Supply]]</f>
        <v>303000</v>
      </c>
      <c r="AB98" s="581">
        <v>31000</v>
      </c>
      <c r="AC98" s="594">
        <v>31000</v>
      </c>
      <c r="AD98" s="594">
        <v>4000</v>
      </c>
      <c r="AE98" s="594">
        <v>59000</v>
      </c>
      <c r="AF98" s="594">
        <v>0</v>
      </c>
      <c r="AG98" s="581">
        <v>94000</v>
      </c>
      <c r="AH98" s="581">
        <v>104000</v>
      </c>
      <c r="AI98" s="596">
        <v>50000</v>
      </c>
      <c r="AJ98" s="594">
        <v>54000</v>
      </c>
      <c r="AK98" s="594">
        <v>0</v>
      </c>
      <c r="AL98" s="594">
        <v>14000</v>
      </c>
      <c r="AM98" s="594">
        <v>26000</v>
      </c>
      <c r="AN98" s="594">
        <v>0</v>
      </c>
      <c r="AO98" s="594">
        <v>0</v>
      </c>
      <c r="AP98" s="581">
        <v>144000</v>
      </c>
      <c r="AQ98" s="594">
        <v>104000</v>
      </c>
      <c r="AR98" s="594">
        <v>20000</v>
      </c>
      <c r="AS98" s="594">
        <v>0</v>
      </c>
      <c r="AT98" s="594">
        <v>0</v>
      </c>
      <c r="AU98" s="581">
        <v>154000</v>
      </c>
      <c r="AV98" s="594">
        <v>104000</v>
      </c>
      <c r="AW98" s="594">
        <v>20000</v>
      </c>
      <c r="AX98" s="594">
        <v>0</v>
      </c>
      <c r="AY98" s="581">
        <v>124000</v>
      </c>
      <c r="AZ98" s="594">
        <v>0</v>
      </c>
      <c r="BA98" s="594">
        <v>30000</v>
      </c>
      <c r="BB98" s="581">
        <v>30000</v>
      </c>
      <c r="BC98" s="597">
        <f>Table35[[#This Row],[Total Expenditure]]/Table35[[#This Row],[Number of pupils (FTE)]]</f>
        <v>5621.5277777777774</v>
      </c>
      <c r="BD98" s="598">
        <f>Table35[[#This Row],[Total Staff Costs]]/Table35[[#This Row],[Number of pupils (FTE)]]</f>
        <v>4260.416666666667</v>
      </c>
      <c r="BE98" s="598">
        <f>Table35[[#This Row],[Teaching staff]]/Table35[[#This Row],[Number of teachers in academy (FTE)]]</f>
        <v>0</v>
      </c>
      <c r="BF98" s="599">
        <f>Table35[[#This Row],[Number of pupils (FTE)]]/Table35[[#This Row],[Number of teachers in academy (FTE)]]</f>
        <v>23.801652892561986</v>
      </c>
      <c r="BG98" s="600">
        <f t="shared" si="10"/>
        <v>1052.0833333333333</v>
      </c>
      <c r="BH98" s="598">
        <f>Table35[[#This Row],[Premises Costs]]/Table35[[#This Row],[Number of pupils (FTE)]]</f>
        <v>326.38888888888891</v>
      </c>
      <c r="BI98" s="598">
        <f>Table35[[#This Row],[Maintenance &amp; Improvement Costs]]/Table35[[#This Row],[Number of pupils (FTE)]]</f>
        <v>107.63888888888889</v>
      </c>
      <c r="BJ98" s="598" t="e">
        <f>#REF!/E98</f>
        <v>#REF!</v>
      </c>
      <c r="BK98" s="598">
        <f t="shared" si="11"/>
        <v>0</v>
      </c>
      <c r="BL98" s="598">
        <f t="shared" si="12"/>
        <v>48.611111111111114</v>
      </c>
      <c r="BM98" s="598">
        <f t="shared" si="13"/>
        <v>90.277777777777771</v>
      </c>
      <c r="BN98" s="598">
        <f t="shared" si="14"/>
        <v>361.11111111111109</v>
      </c>
      <c r="BO98" s="598">
        <f t="shared" si="15"/>
        <v>69.444444444444443</v>
      </c>
      <c r="BP98" s="598">
        <f t="shared" si="16"/>
        <v>0</v>
      </c>
      <c r="BQ98" s="598">
        <f t="shared" si="17"/>
        <v>534.72222222222217</v>
      </c>
      <c r="BR98" s="598">
        <f t="shared" si="18"/>
        <v>430.55555555555554</v>
      </c>
      <c r="BS98" s="598">
        <f t="shared" si="19"/>
        <v>104.16666666666667</v>
      </c>
    </row>
    <row r="99" spans="1:71" ht="29" hidden="1" x14ac:dyDescent="0.35">
      <c r="A99" s="580">
        <v>925</v>
      </c>
      <c r="B99" s="580" t="s">
        <v>489</v>
      </c>
      <c r="C99" s="593" t="s">
        <v>624</v>
      </c>
      <c r="D99" s="593" t="s">
        <v>519</v>
      </c>
      <c r="E99" s="580">
        <v>215</v>
      </c>
      <c r="F99" s="580">
        <v>11.52</v>
      </c>
      <c r="G99" s="580" t="s">
        <v>500</v>
      </c>
      <c r="H99" s="580">
        <v>38.1</v>
      </c>
      <c r="I99" s="580">
        <v>1.9</v>
      </c>
      <c r="J99" s="580">
        <v>8.4</v>
      </c>
      <c r="K99" s="580">
        <v>0</v>
      </c>
      <c r="L99" s="581">
        <v>1637000</v>
      </c>
      <c r="M99" s="581">
        <v>1620000</v>
      </c>
      <c r="N99" s="582">
        <f>Table35[[#This Row],[Total Income]]-Table35[[#This Row],[Total Expenditure]]</f>
        <v>17000</v>
      </c>
      <c r="O99" s="581">
        <v>0</v>
      </c>
      <c r="Z99" s="581">
        <v>1252000</v>
      </c>
      <c r="AA99" s="595">
        <f>M99-Z99-Table35[[#This Row],[Maintenance &amp; Improvement]]-Table35[[#This Row],[Cleaning &amp; Caretaking]]-Table35[[#This Row],[Catering Supply]]</f>
        <v>298000</v>
      </c>
      <c r="AB99" s="581">
        <v>19000</v>
      </c>
      <c r="AC99" s="594">
        <v>19000</v>
      </c>
      <c r="AD99" s="594">
        <v>3000</v>
      </c>
      <c r="AE99" s="594">
        <v>66000</v>
      </c>
      <c r="AF99" s="594">
        <v>0</v>
      </c>
      <c r="AG99" s="581">
        <v>88000</v>
      </c>
      <c r="AH99" s="581">
        <v>48000</v>
      </c>
      <c r="AI99" s="596">
        <v>0</v>
      </c>
      <c r="AJ99" s="594">
        <v>48000</v>
      </c>
      <c r="AK99" s="594">
        <v>9000</v>
      </c>
      <c r="AL99" s="594">
        <v>9000</v>
      </c>
      <c r="AM99" s="594">
        <v>42000</v>
      </c>
      <c r="AN99" s="594">
        <v>0</v>
      </c>
      <c r="AO99" s="594">
        <v>6000</v>
      </c>
      <c r="AP99" s="581">
        <v>114000</v>
      </c>
      <c r="AQ99" s="594">
        <v>86000</v>
      </c>
      <c r="AR99" s="594">
        <v>7000</v>
      </c>
      <c r="AS99" s="594">
        <v>0</v>
      </c>
      <c r="AT99" s="594">
        <v>22000</v>
      </c>
      <c r="AU99" s="581">
        <v>166000</v>
      </c>
      <c r="AV99" s="594">
        <v>86000</v>
      </c>
      <c r="AW99" s="594">
        <v>7000</v>
      </c>
      <c r="AX99" s="594">
        <v>0</v>
      </c>
      <c r="AY99" s="581">
        <v>93000</v>
      </c>
      <c r="AZ99" s="594">
        <v>51000</v>
      </c>
      <c r="BA99" s="594">
        <v>0</v>
      </c>
      <c r="BB99" s="581">
        <v>51000</v>
      </c>
      <c r="BC99" s="597">
        <f>Table35[[#This Row],[Total Expenditure]]/Table35[[#This Row],[Number of pupils (FTE)]]</f>
        <v>7534.8837209302328</v>
      </c>
      <c r="BD99" s="598">
        <f>Table35[[#This Row],[Total Staff Costs]]/Table35[[#This Row],[Number of pupils (FTE)]]</f>
        <v>5823.2558139534885</v>
      </c>
      <c r="BE99" s="598">
        <f>Table35[[#This Row],[Teaching staff]]/Table35[[#This Row],[Number of teachers in academy (FTE)]]</f>
        <v>0</v>
      </c>
      <c r="BF99" s="599">
        <f>Table35[[#This Row],[Number of pupils (FTE)]]/Table35[[#This Row],[Number of teachers in academy (FTE)]]</f>
        <v>18.663194444444446</v>
      </c>
      <c r="BG99" s="600">
        <f t="shared" si="10"/>
        <v>1386.046511627907</v>
      </c>
      <c r="BH99" s="598">
        <f>Table35[[#This Row],[Premises Costs]]/Table35[[#This Row],[Number of pupils (FTE)]]</f>
        <v>409.30232558139534</v>
      </c>
      <c r="BI99" s="598">
        <f>Table35[[#This Row],[Maintenance &amp; Improvement Costs]]/Table35[[#This Row],[Number of pupils (FTE)]]</f>
        <v>88.372093023255815</v>
      </c>
      <c r="BJ99" s="598" t="e">
        <f>#REF!/E99</f>
        <v>#REF!</v>
      </c>
      <c r="BK99" s="598">
        <f t="shared" si="11"/>
        <v>41.860465116279073</v>
      </c>
      <c r="BL99" s="598">
        <f t="shared" si="12"/>
        <v>41.860465116279073</v>
      </c>
      <c r="BM99" s="598">
        <f t="shared" si="13"/>
        <v>195.34883720930233</v>
      </c>
      <c r="BN99" s="598">
        <f t="shared" si="14"/>
        <v>400</v>
      </c>
      <c r="BO99" s="598">
        <f t="shared" si="15"/>
        <v>32.558139534883722</v>
      </c>
      <c r="BP99" s="598">
        <f t="shared" si="16"/>
        <v>102.32558139534883</v>
      </c>
      <c r="BQ99" s="598">
        <f t="shared" si="17"/>
        <v>772.09302325581393</v>
      </c>
      <c r="BR99" s="598">
        <f t="shared" si="18"/>
        <v>432.55813953488371</v>
      </c>
      <c r="BS99" s="598">
        <f t="shared" si="19"/>
        <v>237.2093023255814</v>
      </c>
    </row>
    <row r="100" spans="1:71" ht="29" hidden="1" x14ac:dyDescent="0.35">
      <c r="A100" s="580">
        <v>925</v>
      </c>
      <c r="B100" s="580" t="s">
        <v>489</v>
      </c>
      <c r="C100" s="593" t="s">
        <v>625</v>
      </c>
      <c r="D100" s="593" t="s">
        <v>519</v>
      </c>
      <c r="E100" s="580">
        <v>54</v>
      </c>
      <c r="F100" s="580">
        <v>3.42</v>
      </c>
      <c r="G100" s="580" t="s">
        <v>500</v>
      </c>
      <c r="H100" s="580">
        <v>52.6</v>
      </c>
      <c r="I100" s="580">
        <v>3.5</v>
      </c>
      <c r="J100" s="580">
        <v>5.3</v>
      </c>
      <c r="K100" s="580">
        <v>0</v>
      </c>
      <c r="L100" s="581">
        <v>488000</v>
      </c>
      <c r="M100" s="581">
        <v>665000</v>
      </c>
      <c r="N100" s="582">
        <f>Table35[[#This Row],[Total Income]]-Table35[[#This Row],[Total Expenditure]]</f>
        <v>-177000</v>
      </c>
      <c r="O100" s="581">
        <v>0</v>
      </c>
      <c r="Z100" s="581">
        <v>523000</v>
      </c>
      <c r="AA100" s="595">
        <f>M100-Z100-Table35[[#This Row],[Maintenance &amp; Improvement]]-Table35[[#This Row],[Cleaning &amp; Caretaking]]-Table35[[#This Row],[Catering Supply]]</f>
        <v>109000</v>
      </c>
      <c r="AB100" s="581">
        <v>6000</v>
      </c>
      <c r="AC100" s="594">
        <v>6000</v>
      </c>
      <c r="AD100" s="594">
        <v>2000</v>
      </c>
      <c r="AE100" s="594">
        <v>23000</v>
      </c>
      <c r="AF100" s="594">
        <v>0</v>
      </c>
      <c r="AG100" s="581">
        <v>31000</v>
      </c>
      <c r="AH100" s="581">
        <v>25000</v>
      </c>
      <c r="AI100" s="596">
        <v>0</v>
      </c>
      <c r="AJ100" s="594">
        <v>25000</v>
      </c>
      <c r="AK100" s="594">
        <v>1000</v>
      </c>
      <c r="AL100" s="594">
        <v>2000</v>
      </c>
      <c r="AM100" s="594">
        <v>22000</v>
      </c>
      <c r="AN100" s="594">
        <v>0</v>
      </c>
      <c r="AO100" s="594">
        <v>2000</v>
      </c>
      <c r="AP100" s="581">
        <v>52000</v>
      </c>
      <c r="AQ100" s="594">
        <v>18000</v>
      </c>
      <c r="AR100" s="594">
        <v>2000</v>
      </c>
      <c r="AS100" s="594">
        <v>0</v>
      </c>
      <c r="AT100" s="594">
        <v>5000</v>
      </c>
      <c r="AU100" s="581">
        <v>59000</v>
      </c>
      <c r="AV100" s="594">
        <v>18000</v>
      </c>
      <c r="AW100" s="594">
        <v>2000</v>
      </c>
      <c r="AX100" s="594">
        <v>0</v>
      </c>
      <c r="AY100" s="581">
        <v>20000</v>
      </c>
      <c r="AZ100" s="594">
        <v>34000</v>
      </c>
      <c r="BA100" s="594">
        <v>0</v>
      </c>
      <c r="BB100" s="581">
        <v>34000</v>
      </c>
      <c r="BC100" s="597">
        <f>Table35[[#This Row],[Total Expenditure]]/Table35[[#This Row],[Number of pupils (FTE)]]</f>
        <v>12314.814814814816</v>
      </c>
      <c r="BD100" s="598">
        <f>Table35[[#This Row],[Total Staff Costs]]/Table35[[#This Row],[Number of pupils (FTE)]]</f>
        <v>9685.1851851851843</v>
      </c>
      <c r="BE100" s="598">
        <f>Table35[[#This Row],[Teaching staff]]/Table35[[#This Row],[Number of teachers in academy (FTE)]]</f>
        <v>0</v>
      </c>
      <c r="BF100" s="599">
        <f>Table35[[#This Row],[Number of pupils (FTE)]]/Table35[[#This Row],[Number of teachers in academy (FTE)]]</f>
        <v>15.789473684210527</v>
      </c>
      <c r="BG100" s="600">
        <f t="shared" si="10"/>
        <v>2018.5185185185185</v>
      </c>
      <c r="BH100" s="598">
        <f>Table35[[#This Row],[Premises Costs]]/Table35[[#This Row],[Number of pupils (FTE)]]</f>
        <v>574.07407407407402</v>
      </c>
      <c r="BI100" s="598">
        <f>Table35[[#This Row],[Maintenance &amp; Improvement Costs]]/Table35[[#This Row],[Number of pupils (FTE)]]</f>
        <v>111.11111111111111</v>
      </c>
      <c r="BJ100" s="598" t="e">
        <f>#REF!/E100</f>
        <v>#REF!</v>
      </c>
      <c r="BK100" s="598">
        <f t="shared" si="11"/>
        <v>18.518518518518519</v>
      </c>
      <c r="BL100" s="598">
        <f t="shared" si="12"/>
        <v>37.037037037037038</v>
      </c>
      <c r="BM100" s="598">
        <f t="shared" si="13"/>
        <v>407.40740740740739</v>
      </c>
      <c r="BN100" s="598">
        <f t="shared" si="14"/>
        <v>333.33333333333331</v>
      </c>
      <c r="BO100" s="598">
        <f t="shared" si="15"/>
        <v>37.037037037037038</v>
      </c>
      <c r="BP100" s="598">
        <f t="shared" si="16"/>
        <v>92.592592592592595</v>
      </c>
      <c r="BQ100" s="598">
        <f t="shared" si="17"/>
        <v>1092.5925925925926</v>
      </c>
      <c r="BR100" s="598">
        <f t="shared" si="18"/>
        <v>370.37037037037038</v>
      </c>
      <c r="BS100" s="598">
        <f t="shared" si="19"/>
        <v>629.62962962962968</v>
      </c>
    </row>
    <row r="101" spans="1:71" ht="43.5" hidden="1" x14ac:dyDescent="0.35">
      <c r="A101" s="580">
        <v>925</v>
      </c>
      <c r="B101" s="580" t="s">
        <v>489</v>
      </c>
      <c r="C101" s="593" t="s">
        <v>626</v>
      </c>
      <c r="D101" s="593" t="s">
        <v>555</v>
      </c>
      <c r="E101" s="580">
        <v>116</v>
      </c>
      <c r="F101" s="580">
        <v>5</v>
      </c>
      <c r="G101" s="580" t="s">
        <v>500</v>
      </c>
      <c r="H101" s="580">
        <v>37.1</v>
      </c>
      <c r="I101" s="580">
        <v>8.6</v>
      </c>
      <c r="J101" s="580">
        <v>19.8</v>
      </c>
      <c r="K101" s="580">
        <v>0</v>
      </c>
      <c r="L101" s="581">
        <v>992000</v>
      </c>
      <c r="M101" s="581">
        <v>944000</v>
      </c>
      <c r="N101" s="582">
        <f>Table35[[#This Row],[Total Income]]-Table35[[#This Row],[Total Expenditure]]</f>
        <v>48000</v>
      </c>
      <c r="O101" s="581">
        <v>0</v>
      </c>
      <c r="Z101" s="581">
        <v>753000</v>
      </c>
      <c r="AA101" s="595">
        <f>M101-Z101-Table35[[#This Row],[Maintenance &amp; Improvement]]-Table35[[#This Row],[Cleaning &amp; Caretaking]]-Table35[[#This Row],[Catering Supply]]</f>
        <v>128000</v>
      </c>
      <c r="AB101" s="581">
        <v>29000</v>
      </c>
      <c r="AC101" s="594">
        <v>29000</v>
      </c>
      <c r="AD101" s="594">
        <v>6000</v>
      </c>
      <c r="AE101" s="594">
        <v>45000</v>
      </c>
      <c r="AF101" s="594">
        <v>0</v>
      </c>
      <c r="AG101" s="581">
        <v>80000</v>
      </c>
      <c r="AH101" s="581">
        <v>28000</v>
      </c>
      <c r="AI101" s="596">
        <v>0</v>
      </c>
      <c r="AJ101" s="594">
        <v>28000</v>
      </c>
      <c r="AK101" s="594">
        <v>2000</v>
      </c>
      <c r="AL101" s="594">
        <v>4000</v>
      </c>
      <c r="AM101" s="594">
        <v>22000</v>
      </c>
      <c r="AN101" s="594">
        <v>3000</v>
      </c>
      <c r="AO101" s="594">
        <v>5000</v>
      </c>
      <c r="AP101" s="581">
        <v>64000</v>
      </c>
      <c r="AQ101" s="594">
        <v>19000</v>
      </c>
      <c r="AR101" s="594">
        <v>2000</v>
      </c>
      <c r="AS101" s="594">
        <v>0</v>
      </c>
      <c r="AT101" s="594">
        <v>15000</v>
      </c>
      <c r="AU101" s="581">
        <v>47000</v>
      </c>
      <c r="AV101" s="594">
        <v>19000</v>
      </c>
      <c r="AW101" s="594">
        <v>2000</v>
      </c>
      <c r="AX101" s="594">
        <v>0</v>
      </c>
      <c r="AY101" s="581">
        <v>21000</v>
      </c>
      <c r="AZ101" s="594">
        <v>9000</v>
      </c>
      <c r="BA101" s="594">
        <v>2000</v>
      </c>
      <c r="BB101" s="581">
        <v>11000</v>
      </c>
      <c r="BC101" s="597">
        <f>Table35[[#This Row],[Total Expenditure]]/Table35[[#This Row],[Number of pupils (FTE)]]</f>
        <v>8137.9310344827591</v>
      </c>
      <c r="BD101" s="598">
        <f>Table35[[#This Row],[Total Staff Costs]]/Table35[[#This Row],[Number of pupils (FTE)]]</f>
        <v>6491.3793103448279</v>
      </c>
      <c r="BE101" s="598">
        <f>Table35[[#This Row],[Teaching staff]]/Table35[[#This Row],[Number of teachers in academy (FTE)]]</f>
        <v>0</v>
      </c>
      <c r="BF101" s="599">
        <f>Table35[[#This Row],[Number of pupils (FTE)]]/Table35[[#This Row],[Number of teachers in academy (FTE)]]</f>
        <v>23.2</v>
      </c>
      <c r="BG101" s="600">
        <f t="shared" si="10"/>
        <v>1103.4482758620691</v>
      </c>
      <c r="BH101" s="598">
        <f>Table35[[#This Row],[Premises Costs]]/Table35[[#This Row],[Number of pupils (FTE)]]</f>
        <v>689.65517241379314</v>
      </c>
      <c r="BI101" s="598">
        <f>Table35[[#This Row],[Maintenance &amp; Improvement Costs]]/Table35[[#This Row],[Number of pupils (FTE)]]</f>
        <v>250</v>
      </c>
      <c r="BJ101" s="598" t="e">
        <f>#REF!/E101</f>
        <v>#REF!</v>
      </c>
      <c r="BK101" s="598">
        <f t="shared" si="11"/>
        <v>17.241379310344829</v>
      </c>
      <c r="BL101" s="598">
        <f t="shared" si="12"/>
        <v>34.482758620689658</v>
      </c>
      <c r="BM101" s="598">
        <f t="shared" si="13"/>
        <v>189.65517241379311</v>
      </c>
      <c r="BN101" s="598">
        <f t="shared" si="14"/>
        <v>163.79310344827587</v>
      </c>
      <c r="BO101" s="598">
        <f t="shared" si="15"/>
        <v>17.241379310344829</v>
      </c>
      <c r="BP101" s="598">
        <f t="shared" si="16"/>
        <v>129.31034482758622</v>
      </c>
      <c r="BQ101" s="598">
        <f t="shared" si="17"/>
        <v>405.17241379310343</v>
      </c>
      <c r="BR101" s="598">
        <f t="shared" si="18"/>
        <v>181.0344827586207</v>
      </c>
      <c r="BS101" s="598">
        <f t="shared" si="19"/>
        <v>94.827586206896555</v>
      </c>
    </row>
    <row r="102" spans="1:71" ht="29" hidden="1" x14ac:dyDescent="0.35">
      <c r="A102" s="580">
        <v>925</v>
      </c>
      <c r="B102" s="580" t="s">
        <v>489</v>
      </c>
      <c r="C102" s="593" t="s">
        <v>627</v>
      </c>
      <c r="D102" s="593" t="s">
        <v>519</v>
      </c>
      <c r="E102" s="580">
        <v>74</v>
      </c>
      <c r="F102" s="580">
        <v>4.9400000000000004</v>
      </c>
      <c r="G102" s="580" t="s">
        <v>500</v>
      </c>
      <c r="H102" s="580">
        <v>34.700000000000003</v>
      </c>
      <c r="I102" s="580">
        <v>5.3</v>
      </c>
      <c r="J102" s="580">
        <v>9.3000000000000007</v>
      </c>
      <c r="K102" s="580">
        <v>0</v>
      </c>
      <c r="L102" s="581">
        <v>617000</v>
      </c>
      <c r="M102" s="581">
        <v>604000</v>
      </c>
      <c r="N102" s="582">
        <f>Table35[[#This Row],[Total Income]]-Table35[[#This Row],[Total Expenditure]]</f>
        <v>13000</v>
      </c>
      <c r="O102" s="581">
        <v>0</v>
      </c>
      <c r="Z102" s="581">
        <v>488000</v>
      </c>
      <c r="AA102" s="595">
        <f>M102-Z102-Table35[[#This Row],[Maintenance &amp; Improvement]]-Table35[[#This Row],[Cleaning &amp; Caretaking]]-Table35[[#This Row],[Catering Supply]]</f>
        <v>88000</v>
      </c>
      <c r="AB102" s="581">
        <v>7000</v>
      </c>
      <c r="AC102" s="594">
        <v>7000</v>
      </c>
      <c r="AD102" s="594">
        <v>2000</v>
      </c>
      <c r="AE102" s="594">
        <v>25000</v>
      </c>
      <c r="AF102" s="594">
        <v>0</v>
      </c>
      <c r="AG102" s="581">
        <v>34000</v>
      </c>
      <c r="AH102" s="581">
        <v>19000</v>
      </c>
      <c r="AI102" s="596">
        <v>0</v>
      </c>
      <c r="AJ102" s="594">
        <v>19000</v>
      </c>
      <c r="AK102" s="594">
        <v>1000</v>
      </c>
      <c r="AL102" s="594">
        <v>4000</v>
      </c>
      <c r="AM102" s="594">
        <v>23000</v>
      </c>
      <c r="AN102" s="594">
        <v>0</v>
      </c>
      <c r="AO102" s="594">
        <v>1000</v>
      </c>
      <c r="AP102" s="581">
        <v>48000</v>
      </c>
      <c r="AQ102" s="594">
        <v>15000</v>
      </c>
      <c r="AR102" s="594">
        <v>2000</v>
      </c>
      <c r="AS102" s="594">
        <v>0</v>
      </c>
      <c r="AT102" s="594">
        <v>2000</v>
      </c>
      <c r="AU102" s="581">
        <v>34000</v>
      </c>
      <c r="AV102" s="594">
        <v>15000</v>
      </c>
      <c r="AW102" s="594">
        <v>2000</v>
      </c>
      <c r="AX102" s="594">
        <v>0</v>
      </c>
      <c r="AY102" s="581">
        <v>17000</v>
      </c>
      <c r="AZ102" s="594">
        <v>15000</v>
      </c>
      <c r="BA102" s="594">
        <v>0</v>
      </c>
      <c r="BB102" s="581">
        <v>15000</v>
      </c>
      <c r="BC102" s="597">
        <f>Table35[[#This Row],[Total Expenditure]]/Table35[[#This Row],[Number of pupils (FTE)]]</f>
        <v>8162.1621621621625</v>
      </c>
      <c r="BD102" s="598">
        <f>Table35[[#This Row],[Total Staff Costs]]/Table35[[#This Row],[Number of pupils (FTE)]]</f>
        <v>6594.594594594595</v>
      </c>
      <c r="BE102" s="598">
        <f>Table35[[#This Row],[Teaching staff]]/Table35[[#This Row],[Number of teachers in academy (FTE)]]</f>
        <v>0</v>
      </c>
      <c r="BF102" s="599">
        <f>Table35[[#This Row],[Number of pupils (FTE)]]/Table35[[#This Row],[Number of teachers in academy (FTE)]]</f>
        <v>14.979757085020243</v>
      </c>
      <c r="BG102" s="600">
        <f t="shared" si="10"/>
        <v>1189.1891891891892</v>
      </c>
      <c r="BH102" s="598">
        <f>Table35[[#This Row],[Premises Costs]]/Table35[[#This Row],[Number of pupils (FTE)]]</f>
        <v>459.45945945945948</v>
      </c>
      <c r="BI102" s="598">
        <f>Table35[[#This Row],[Maintenance &amp; Improvement Costs]]/Table35[[#This Row],[Number of pupils (FTE)]]</f>
        <v>94.594594594594597</v>
      </c>
      <c r="BJ102" s="598" t="e">
        <f>#REF!/E102</f>
        <v>#REF!</v>
      </c>
      <c r="BK102" s="598">
        <f t="shared" si="11"/>
        <v>13.513513513513514</v>
      </c>
      <c r="BL102" s="598">
        <f t="shared" si="12"/>
        <v>54.054054054054056</v>
      </c>
      <c r="BM102" s="598">
        <f t="shared" si="13"/>
        <v>310.81081081081084</v>
      </c>
      <c r="BN102" s="598">
        <f t="shared" si="14"/>
        <v>202.70270270270271</v>
      </c>
      <c r="BO102" s="598">
        <f t="shared" si="15"/>
        <v>27.027027027027028</v>
      </c>
      <c r="BP102" s="598">
        <f t="shared" si="16"/>
        <v>27.027027027027028</v>
      </c>
      <c r="BQ102" s="598">
        <f t="shared" si="17"/>
        <v>459.45945945945948</v>
      </c>
      <c r="BR102" s="598">
        <f t="shared" si="18"/>
        <v>229.72972972972974</v>
      </c>
      <c r="BS102" s="598">
        <f t="shared" si="19"/>
        <v>202.70270270270271</v>
      </c>
    </row>
    <row r="103" spans="1:71" ht="29" hidden="1" x14ac:dyDescent="0.35">
      <c r="A103" s="580">
        <v>925</v>
      </c>
      <c r="B103" s="580" t="s">
        <v>489</v>
      </c>
      <c r="C103" s="593" t="s">
        <v>628</v>
      </c>
      <c r="D103" s="593" t="s">
        <v>555</v>
      </c>
      <c r="E103" s="580">
        <v>57</v>
      </c>
      <c r="F103" s="580">
        <v>4.4000000000000004</v>
      </c>
      <c r="G103" s="580" t="s">
        <v>500</v>
      </c>
      <c r="H103" s="580">
        <v>28.1</v>
      </c>
      <c r="I103" s="580">
        <v>0</v>
      </c>
      <c r="J103" s="580">
        <v>10.5</v>
      </c>
      <c r="K103" s="580">
        <v>0</v>
      </c>
      <c r="L103" s="581">
        <v>497000</v>
      </c>
      <c r="M103" s="581">
        <v>480000</v>
      </c>
      <c r="N103" s="582">
        <f>Table35[[#This Row],[Total Income]]-Table35[[#This Row],[Total Expenditure]]</f>
        <v>17000</v>
      </c>
      <c r="O103" s="581">
        <v>0</v>
      </c>
      <c r="Z103" s="581">
        <v>384000</v>
      </c>
      <c r="AA103" s="595">
        <f>M103-Z103-Table35[[#This Row],[Maintenance &amp; Improvement]]-Table35[[#This Row],[Cleaning &amp; Caretaking]]-Table35[[#This Row],[Catering Supply]]</f>
        <v>55000</v>
      </c>
      <c r="AB103" s="581">
        <v>6000</v>
      </c>
      <c r="AC103" s="594">
        <v>6000</v>
      </c>
      <c r="AD103" s="594">
        <v>20000</v>
      </c>
      <c r="AE103" s="594">
        <v>0</v>
      </c>
      <c r="AF103" s="594">
        <v>0</v>
      </c>
      <c r="AG103" s="581">
        <v>26000</v>
      </c>
      <c r="AH103" s="581">
        <v>15000</v>
      </c>
      <c r="AI103" s="596">
        <v>0</v>
      </c>
      <c r="AJ103" s="594">
        <v>15000</v>
      </c>
      <c r="AK103" s="594">
        <v>1000</v>
      </c>
      <c r="AL103" s="594">
        <v>1000</v>
      </c>
      <c r="AM103" s="594">
        <v>12000</v>
      </c>
      <c r="AN103" s="594">
        <v>1000</v>
      </c>
      <c r="AO103" s="594">
        <v>4000</v>
      </c>
      <c r="AP103" s="581">
        <v>34000</v>
      </c>
      <c r="AQ103" s="594">
        <v>12000</v>
      </c>
      <c r="AR103" s="594">
        <v>2000</v>
      </c>
      <c r="AS103" s="594">
        <v>0</v>
      </c>
      <c r="AT103" s="594">
        <v>15000</v>
      </c>
      <c r="AU103" s="581">
        <v>36000</v>
      </c>
      <c r="AV103" s="594">
        <v>12000</v>
      </c>
      <c r="AW103" s="594">
        <v>2000</v>
      </c>
      <c r="AX103" s="594">
        <v>0</v>
      </c>
      <c r="AY103" s="581">
        <v>14000</v>
      </c>
      <c r="AZ103" s="594">
        <v>6000</v>
      </c>
      <c r="BA103" s="594">
        <v>1000</v>
      </c>
      <c r="BB103" s="581">
        <v>7000</v>
      </c>
      <c r="BC103" s="597">
        <f>Table35[[#This Row],[Total Expenditure]]/Table35[[#This Row],[Number of pupils (FTE)]]</f>
        <v>8421.0526315789466</v>
      </c>
      <c r="BD103" s="598">
        <f>Table35[[#This Row],[Total Staff Costs]]/Table35[[#This Row],[Number of pupils (FTE)]]</f>
        <v>6736.8421052631575</v>
      </c>
      <c r="BE103" s="598">
        <f>Table35[[#This Row],[Teaching staff]]/Table35[[#This Row],[Number of teachers in academy (FTE)]]</f>
        <v>0</v>
      </c>
      <c r="BF103" s="599">
        <f>Table35[[#This Row],[Number of pupils (FTE)]]/Table35[[#This Row],[Number of teachers in academy (FTE)]]</f>
        <v>12.954545454545453</v>
      </c>
      <c r="BG103" s="600">
        <f t="shared" si="10"/>
        <v>964.91228070175441</v>
      </c>
      <c r="BH103" s="598">
        <f>Table35[[#This Row],[Premises Costs]]/Table35[[#This Row],[Number of pupils (FTE)]]</f>
        <v>456.14035087719299</v>
      </c>
      <c r="BI103" s="598">
        <f>Table35[[#This Row],[Maintenance &amp; Improvement Costs]]/Table35[[#This Row],[Number of pupils (FTE)]]</f>
        <v>105.26315789473684</v>
      </c>
      <c r="BJ103" s="598" t="e">
        <f>#REF!/E103</f>
        <v>#REF!</v>
      </c>
      <c r="BK103" s="598">
        <f t="shared" si="11"/>
        <v>17.543859649122808</v>
      </c>
      <c r="BL103" s="598">
        <f t="shared" si="12"/>
        <v>17.543859649122808</v>
      </c>
      <c r="BM103" s="598">
        <f t="shared" si="13"/>
        <v>210.52631578947367</v>
      </c>
      <c r="BN103" s="598">
        <f t="shared" si="14"/>
        <v>210.52631578947367</v>
      </c>
      <c r="BO103" s="598">
        <f t="shared" si="15"/>
        <v>35.087719298245617</v>
      </c>
      <c r="BP103" s="598">
        <f t="shared" si="16"/>
        <v>263.15789473684208</v>
      </c>
      <c r="BQ103" s="598">
        <f t="shared" si="17"/>
        <v>631.57894736842104</v>
      </c>
      <c r="BR103" s="598">
        <f t="shared" si="18"/>
        <v>245.61403508771929</v>
      </c>
      <c r="BS103" s="598">
        <f t="shared" si="19"/>
        <v>122.80701754385964</v>
      </c>
    </row>
    <row r="104" spans="1:71" ht="43.5" hidden="1" x14ac:dyDescent="0.35">
      <c r="A104" s="580">
        <v>925</v>
      </c>
      <c r="B104" s="580" t="s">
        <v>489</v>
      </c>
      <c r="C104" s="593" t="s">
        <v>629</v>
      </c>
      <c r="D104" s="593" t="s">
        <v>630</v>
      </c>
      <c r="E104" s="580">
        <v>200</v>
      </c>
      <c r="F104" s="580">
        <v>7</v>
      </c>
      <c r="G104" s="580" t="s">
        <v>500</v>
      </c>
      <c r="H104" s="580">
        <v>27</v>
      </c>
      <c r="I104" s="580">
        <v>6</v>
      </c>
      <c r="J104" s="580">
        <v>22</v>
      </c>
      <c r="K104" s="580">
        <v>0</v>
      </c>
      <c r="L104" s="581">
        <v>1329000</v>
      </c>
      <c r="M104" s="581">
        <v>1330000</v>
      </c>
      <c r="N104" s="582">
        <f>Table35[[#This Row],[Total Income]]-Table35[[#This Row],[Total Expenditure]]</f>
        <v>-1000</v>
      </c>
      <c r="O104" s="581">
        <v>0</v>
      </c>
      <c r="Z104" s="581">
        <v>1026000</v>
      </c>
      <c r="AA104" s="595">
        <f>M104-Z104-Table35[[#This Row],[Maintenance &amp; Improvement]]-Table35[[#This Row],[Cleaning &amp; Caretaking]]-Table35[[#This Row],[Catering Supply]]</f>
        <v>231000</v>
      </c>
      <c r="AB104" s="581">
        <v>17000</v>
      </c>
      <c r="AC104" s="594">
        <v>17000</v>
      </c>
      <c r="AD104" s="594">
        <v>3000</v>
      </c>
      <c r="AE104" s="594">
        <v>67000</v>
      </c>
      <c r="AF104" s="594">
        <v>0</v>
      </c>
      <c r="AG104" s="581">
        <v>87000</v>
      </c>
      <c r="AH104" s="581">
        <v>53000</v>
      </c>
      <c r="AI104" s="596">
        <v>0</v>
      </c>
      <c r="AJ104" s="594">
        <v>53000</v>
      </c>
      <c r="AK104" s="594">
        <v>3000</v>
      </c>
      <c r="AL104" s="594">
        <v>1000</v>
      </c>
      <c r="AM104" s="594">
        <v>20000</v>
      </c>
      <c r="AN104" s="594">
        <v>4000</v>
      </c>
      <c r="AO104" s="594">
        <v>4000</v>
      </c>
      <c r="AP104" s="581">
        <v>85000</v>
      </c>
      <c r="AQ104" s="594">
        <v>28000</v>
      </c>
      <c r="AR104" s="594">
        <v>5000</v>
      </c>
      <c r="AS104" s="594">
        <v>0</v>
      </c>
      <c r="AT104" s="594">
        <v>57000</v>
      </c>
      <c r="AU104" s="581">
        <v>132000</v>
      </c>
      <c r="AV104" s="594">
        <v>28000</v>
      </c>
      <c r="AW104" s="594">
        <v>5000</v>
      </c>
      <c r="AX104" s="594">
        <v>0</v>
      </c>
      <c r="AY104" s="581">
        <v>33000</v>
      </c>
      <c r="AZ104" s="594">
        <v>42000</v>
      </c>
      <c r="BA104" s="594">
        <v>0</v>
      </c>
      <c r="BB104" s="581">
        <v>42000</v>
      </c>
      <c r="BC104" s="597">
        <f>Table35[[#This Row],[Total Expenditure]]/Table35[[#This Row],[Number of pupils (FTE)]]</f>
        <v>6650</v>
      </c>
      <c r="BD104" s="598">
        <f>Table35[[#This Row],[Total Staff Costs]]/Table35[[#This Row],[Number of pupils (FTE)]]</f>
        <v>5130</v>
      </c>
      <c r="BE104" s="598">
        <f>Table35[[#This Row],[Teaching staff]]/Table35[[#This Row],[Number of teachers in academy (FTE)]]</f>
        <v>0</v>
      </c>
      <c r="BF104" s="599">
        <f>Table35[[#This Row],[Number of pupils (FTE)]]/Table35[[#This Row],[Number of teachers in academy (FTE)]]</f>
        <v>28.571428571428573</v>
      </c>
      <c r="BG104" s="600">
        <f t="shared" si="10"/>
        <v>1155</v>
      </c>
      <c r="BH104" s="598">
        <f>Table35[[#This Row],[Premises Costs]]/Table35[[#This Row],[Number of pupils (FTE)]]</f>
        <v>435</v>
      </c>
      <c r="BI104" s="598">
        <f>Table35[[#This Row],[Maintenance &amp; Improvement Costs]]/Table35[[#This Row],[Number of pupils (FTE)]]</f>
        <v>85</v>
      </c>
      <c r="BJ104" s="598" t="e">
        <f>#REF!/E104</f>
        <v>#REF!</v>
      </c>
      <c r="BK104" s="598">
        <f t="shared" si="11"/>
        <v>15</v>
      </c>
      <c r="BL104" s="598">
        <f t="shared" si="12"/>
        <v>5</v>
      </c>
      <c r="BM104" s="598">
        <f t="shared" si="13"/>
        <v>100</v>
      </c>
      <c r="BN104" s="598">
        <f t="shared" si="14"/>
        <v>140</v>
      </c>
      <c r="BO104" s="598">
        <f t="shared" si="15"/>
        <v>25</v>
      </c>
      <c r="BP104" s="598">
        <f t="shared" si="16"/>
        <v>285</v>
      </c>
      <c r="BQ104" s="598">
        <f t="shared" si="17"/>
        <v>660</v>
      </c>
      <c r="BR104" s="598">
        <f t="shared" si="18"/>
        <v>165</v>
      </c>
      <c r="BS104" s="598">
        <f t="shared" si="19"/>
        <v>210</v>
      </c>
    </row>
    <row r="105" spans="1:71" ht="43.5" hidden="1" x14ac:dyDescent="0.35">
      <c r="A105" s="580">
        <v>925</v>
      </c>
      <c r="B105" s="580" t="s">
        <v>489</v>
      </c>
      <c r="C105" s="593" t="s">
        <v>631</v>
      </c>
      <c r="D105" s="593" t="s">
        <v>630</v>
      </c>
      <c r="E105" s="580">
        <v>155</v>
      </c>
      <c r="F105" s="580">
        <v>8.6</v>
      </c>
      <c r="G105" s="580" t="s">
        <v>500</v>
      </c>
      <c r="H105" s="580">
        <v>40</v>
      </c>
      <c r="I105" s="580">
        <v>3.9</v>
      </c>
      <c r="J105" s="580">
        <v>11.6</v>
      </c>
      <c r="K105" s="580">
        <v>0</v>
      </c>
      <c r="L105" s="581">
        <v>1104000</v>
      </c>
      <c r="M105" s="581">
        <v>1161000</v>
      </c>
      <c r="N105" s="582">
        <f>Table35[[#This Row],[Total Income]]-Table35[[#This Row],[Total Expenditure]]</f>
        <v>-57000</v>
      </c>
      <c r="O105" s="581">
        <v>0</v>
      </c>
      <c r="Z105" s="581">
        <v>895000</v>
      </c>
      <c r="AA105" s="595">
        <f>M105-Z105-Table35[[#This Row],[Maintenance &amp; Improvement]]-Table35[[#This Row],[Cleaning &amp; Caretaking]]-Table35[[#This Row],[Catering Supply]]</f>
        <v>200000</v>
      </c>
      <c r="AB105" s="581">
        <v>8000</v>
      </c>
      <c r="AC105" s="594">
        <v>8000</v>
      </c>
      <c r="AD105" s="594">
        <v>4000</v>
      </c>
      <c r="AE105" s="594">
        <v>18000</v>
      </c>
      <c r="AF105" s="594">
        <v>0</v>
      </c>
      <c r="AG105" s="581">
        <v>30000</v>
      </c>
      <c r="AH105" s="581">
        <v>54000</v>
      </c>
      <c r="AI105" s="596">
        <v>0</v>
      </c>
      <c r="AJ105" s="594">
        <v>54000</v>
      </c>
      <c r="AK105" s="594">
        <v>2000</v>
      </c>
      <c r="AL105" s="594">
        <v>2000</v>
      </c>
      <c r="AM105" s="594">
        <v>15000</v>
      </c>
      <c r="AN105" s="594">
        <v>4000</v>
      </c>
      <c r="AO105" s="594">
        <v>4000</v>
      </c>
      <c r="AP105" s="581">
        <v>81000</v>
      </c>
      <c r="AQ105" s="594">
        <v>28000</v>
      </c>
      <c r="AR105" s="594">
        <v>19000</v>
      </c>
      <c r="AS105" s="594">
        <v>0</v>
      </c>
      <c r="AT105" s="594">
        <v>93000</v>
      </c>
      <c r="AU105" s="581">
        <v>155000</v>
      </c>
      <c r="AV105" s="594">
        <v>28000</v>
      </c>
      <c r="AW105" s="594">
        <v>19000</v>
      </c>
      <c r="AX105" s="594">
        <v>0</v>
      </c>
      <c r="AY105" s="581">
        <v>47000</v>
      </c>
      <c r="AZ105" s="594">
        <v>12000</v>
      </c>
      <c r="BA105" s="594">
        <v>3000</v>
      </c>
      <c r="BB105" s="581">
        <v>15000</v>
      </c>
      <c r="BC105" s="597">
        <f>Table35[[#This Row],[Total Expenditure]]/Table35[[#This Row],[Number of pupils (FTE)]]</f>
        <v>7490.322580645161</v>
      </c>
      <c r="BD105" s="598">
        <f>Table35[[#This Row],[Total Staff Costs]]/Table35[[#This Row],[Number of pupils (FTE)]]</f>
        <v>5774.1935483870966</v>
      </c>
      <c r="BE105" s="598">
        <f>Table35[[#This Row],[Teaching staff]]/Table35[[#This Row],[Number of teachers in academy (FTE)]]</f>
        <v>0</v>
      </c>
      <c r="BF105" s="599">
        <f>Table35[[#This Row],[Number of pupils (FTE)]]/Table35[[#This Row],[Number of teachers in academy (FTE)]]</f>
        <v>18.02325581395349</v>
      </c>
      <c r="BG105" s="600">
        <f t="shared" si="10"/>
        <v>1290.3225806451612</v>
      </c>
      <c r="BH105" s="598">
        <f>Table35[[#This Row],[Premises Costs]]/Table35[[#This Row],[Number of pupils (FTE)]]</f>
        <v>193.54838709677421</v>
      </c>
      <c r="BI105" s="598">
        <f>Table35[[#This Row],[Maintenance &amp; Improvement Costs]]/Table35[[#This Row],[Number of pupils (FTE)]]</f>
        <v>51.612903225806448</v>
      </c>
      <c r="BJ105" s="598" t="e">
        <f>#REF!/E105</f>
        <v>#REF!</v>
      </c>
      <c r="BK105" s="598">
        <f t="shared" si="11"/>
        <v>12.903225806451612</v>
      </c>
      <c r="BL105" s="598">
        <f t="shared" si="12"/>
        <v>12.903225806451612</v>
      </c>
      <c r="BM105" s="598">
        <f t="shared" si="13"/>
        <v>96.774193548387103</v>
      </c>
      <c r="BN105" s="598">
        <f t="shared" si="14"/>
        <v>180.64516129032259</v>
      </c>
      <c r="BO105" s="598">
        <f t="shared" si="15"/>
        <v>122.58064516129032</v>
      </c>
      <c r="BP105" s="598">
        <f t="shared" si="16"/>
        <v>600</v>
      </c>
      <c r="BQ105" s="598">
        <f t="shared" si="17"/>
        <v>1000</v>
      </c>
      <c r="BR105" s="598">
        <f t="shared" si="18"/>
        <v>303.22580645161293</v>
      </c>
      <c r="BS105" s="598">
        <f t="shared" si="19"/>
        <v>96.774193548387103</v>
      </c>
    </row>
    <row r="106" spans="1:71" ht="43.5" hidden="1" x14ac:dyDescent="0.35">
      <c r="A106" s="580">
        <v>925</v>
      </c>
      <c r="B106" s="580" t="s">
        <v>489</v>
      </c>
      <c r="C106" s="593" t="s">
        <v>632</v>
      </c>
      <c r="D106" s="593" t="s">
        <v>630</v>
      </c>
      <c r="E106" s="580">
        <v>110</v>
      </c>
      <c r="F106" s="580">
        <v>6.8</v>
      </c>
      <c r="G106" s="580" t="s">
        <v>500</v>
      </c>
      <c r="H106" s="580">
        <v>52.7</v>
      </c>
      <c r="I106" s="580">
        <v>10.9</v>
      </c>
      <c r="J106" s="580">
        <v>25.5</v>
      </c>
      <c r="K106" s="580">
        <v>0</v>
      </c>
      <c r="L106" s="581">
        <v>965000</v>
      </c>
      <c r="M106" s="581">
        <v>1292000</v>
      </c>
      <c r="N106" s="582">
        <f>Table35[[#This Row],[Total Income]]-Table35[[#This Row],[Total Expenditure]]</f>
        <v>-327000</v>
      </c>
      <c r="O106" s="581">
        <v>0</v>
      </c>
      <c r="Z106" s="581">
        <v>971000</v>
      </c>
      <c r="AA106" s="595">
        <f>M106-Z106-Table35[[#This Row],[Maintenance &amp; Improvement]]-Table35[[#This Row],[Cleaning &amp; Caretaking]]-Table35[[#This Row],[Catering Supply]]</f>
        <v>249000</v>
      </c>
      <c r="AB106" s="581">
        <v>14000</v>
      </c>
      <c r="AC106" s="594">
        <v>14000</v>
      </c>
      <c r="AD106" s="594">
        <v>15000</v>
      </c>
      <c r="AE106" s="594">
        <v>37000</v>
      </c>
      <c r="AF106" s="594">
        <v>0</v>
      </c>
      <c r="AG106" s="581">
        <v>66000</v>
      </c>
      <c r="AH106" s="581">
        <v>43000</v>
      </c>
      <c r="AI106" s="596">
        <v>0</v>
      </c>
      <c r="AJ106" s="594">
        <v>43000</v>
      </c>
      <c r="AK106" s="594">
        <v>1000</v>
      </c>
      <c r="AL106" s="594">
        <v>1000</v>
      </c>
      <c r="AM106" s="594">
        <v>30000</v>
      </c>
      <c r="AN106" s="594">
        <v>2000</v>
      </c>
      <c r="AO106" s="594">
        <v>6000</v>
      </c>
      <c r="AP106" s="581">
        <v>83000</v>
      </c>
      <c r="AQ106" s="594">
        <v>24000</v>
      </c>
      <c r="AR106" s="594">
        <v>8000</v>
      </c>
      <c r="AS106" s="594">
        <v>2000</v>
      </c>
      <c r="AT106" s="594">
        <v>123000</v>
      </c>
      <c r="AU106" s="581">
        <v>172000</v>
      </c>
      <c r="AV106" s="594">
        <v>24000</v>
      </c>
      <c r="AW106" s="594">
        <v>8000</v>
      </c>
      <c r="AX106" s="594">
        <v>2000</v>
      </c>
      <c r="AY106" s="581">
        <v>34000</v>
      </c>
      <c r="AZ106" s="594">
        <v>15000</v>
      </c>
      <c r="BA106" s="594">
        <v>0</v>
      </c>
      <c r="BB106" s="581">
        <v>15000</v>
      </c>
      <c r="BC106" s="597">
        <f>Table35[[#This Row],[Total Expenditure]]/Table35[[#This Row],[Number of pupils (FTE)]]</f>
        <v>11745.454545454546</v>
      </c>
      <c r="BD106" s="598">
        <f>Table35[[#This Row],[Total Staff Costs]]/Table35[[#This Row],[Number of pupils (FTE)]]</f>
        <v>8827.2727272727279</v>
      </c>
      <c r="BE106" s="598">
        <f>Table35[[#This Row],[Teaching staff]]/Table35[[#This Row],[Number of teachers in academy (FTE)]]</f>
        <v>0</v>
      </c>
      <c r="BF106" s="599">
        <f>Table35[[#This Row],[Number of pupils (FTE)]]/Table35[[#This Row],[Number of teachers in academy (FTE)]]</f>
        <v>16.176470588235293</v>
      </c>
      <c r="BG106" s="600">
        <f t="shared" si="10"/>
        <v>2263.6363636363635</v>
      </c>
      <c r="BH106" s="598">
        <f>Table35[[#This Row],[Premises Costs]]/Table35[[#This Row],[Number of pupils (FTE)]]</f>
        <v>600</v>
      </c>
      <c r="BI106" s="598">
        <f>Table35[[#This Row],[Maintenance &amp; Improvement Costs]]/Table35[[#This Row],[Number of pupils (FTE)]]</f>
        <v>127.27272727272727</v>
      </c>
      <c r="BJ106" s="598" t="e">
        <f>#REF!/E106</f>
        <v>#REF!</v>
      </c>
      <c r="BK106" s="598">
        <f t="shared" si="11"/>
        <v>9.0909090909090917</v>
      </c>
      <c r="BL106" s="598">
        <f t="shared" si="12"/>
        <v>9.0909090909090917</v>
      </c>
      <c r="BM106" s="598">
        <f t="shared" si="13"/>
        <v>272.72727272727275</v>
      </c>
      <c r="BN106" s="598">
        <f t="shared" si="14"/>
        <v>218.18181818181819</v>
      </c>
      <c r="BO106" s="598">
        <f t="shared" si="15"/>
        <v>72.727272727272734</v>
      </c>
      <c r="BP106" s="598">
        <f t="shared" si="16"/>
        <v>1118.1818181818182</v>
      </c>
      <c r="BQ106" s="598">
        <f t="shared" si="17"/>
        <v>1563.6363636363637</v>
      </c>
      <c r="BR106" s="598">
        <f t="shared" si="18"/>
        <v>309.09090909090907</v>
      </c>
      <c r="BS106" s="598">
        <f t="shared" si="19"/>
        <v>136.36363636363637</v>
      </c>
    </row>
    <row r="107" spans="1:71" ht="43.5" hidden="1" x14ac:dyDescent="0.35">
      <c r="A107" s="580">
        <v>925</v>
      </c>
      <c r="B107" s="580" t="s">
        <v>489</v>
      </c>
      <c r="C107" s="593" t="s">
        <v>633</v>
      </c>
      <c r="D107" s="593" t="s">
        <v>630</v>
      </c>
      <c r="E107" s="580">
        <v>193</v>
      </c>
      <c r="F107" s="580">
        <v>8.4</v>
      </c>
      <c r="G107" s="580" t="s">
        <v>500</v>
      </c>
      <c r="H107" s="580">
        <v>16.100000000000001</v>
      </c>
      <c r="I107" s="580">
        <v>2.6</v>
      </c>
      <c r="J107" s="580">
        <v>13.5</v>
      </c>
      <c r="K107" s="580">
        <v>0</v>
      </c>
      <c r="L107" s="581">
        <v>1248000</v>
      </c>
      <c r="M107" s="581">
        <v>1254000</v>
      </c>
      <c r="N107" s="582">
        <f>Table35[[#This Row],[Total Income]]-Table35[[#This Row],[Total Expenditure]]</f>
        <v>-6000</v>
      </c>
      <c r="O107" s="581">
        <v>0</v>
      </c>
      <c r="Z107" s="581">
        <v>971000</v>
      </c>
      <c r="AA107" s="595">
        <f>M107-Z107-Table35[[#This Row],[Maintenance &amp; Improvement]]-Table35[[#This Row],[Cleaning &amp; Caretaking]]-Table35[[#This Row],[Catering Supply]]</f>
        <v>201000</v>
      </c>
      <c r="AB107" s="581">
        <v>9000</v>
      </c>
      <c r="AC107" s="594">
        <v>9000</v>
      </c>
      <c r="AD107" s="594">
        <v>29000</v>
      </c>
      <c r="AE107" s="594">
        <v>28000</v>
      </c>
      <c r="AF107" s="594">
        <v>0</v>
      </c>
      <c r="AG107" s="581">
        <v>66000</v>
      </c>
      <c r="AH107" s="581">
        <v>44000</v>
      </c>
      <c r="AI107" s="596">
        <v>0</v>
      </c>
      <c r="AJ107" s="594">
        <v>44000</v>
      </c>
      <c r="AK107" s="594">
        <v>4000</v>
      </c>
      <c r="AL107" s="594">
        <v>3000</v>
      </c>
      <c r="AM107" s="594">
        <v>19000</v>
      </c>
      <c r="AN107" s="594">
        <v>5000</v>
      </c>
      <c r="AO107" s="594">
        <v>5000</v>
      </c>
      <c r="AP107" s="581">
        <v>80000</v>
      </c>
      <c r="AQ107" s="594">
        <v>48000</v>
      </c>
      <c r="AR107" s="594">
        <v>11000</v>
      </c>
      <c r="AS107" s="594">
        <v>0</v>
      </c>
      <c r="AT107" s="594">
        <v>38000</v>
      </c>
      <c r="AU107" s="581">
        <v>137000</v>
      </c>
      <c r="AV107" s="594">
        <v>48000</v>
      </c>
      <c r="AW107" s="594">
        <v>11000</v>
      </c>
      <c r="AX107" s="594">
        <v>0</v>
      </c>
      <c r="AY107" s="581">
        <v>59000</v>
      </c>
      <c r="AZ107" s="594">
        <v>39000</v>
      </c>
      <c r="BA107" s="594">
        <v>1000</v>
      </c>
      <c r="BB107" s="581">
        <v>40000</v>
      </c>
      <c r="BC107" s="597">
        <f>Table35[[#This Row],[Total Expenditure]]/Table35[[#This Row],[Number of pupils (FTE)]]</f>
        <v>6497.4093264248704</v>
      </c>
      <c r="BD107" s="598">
        <f>Table35[[#This Row],[Total Staff Costs]]/Table35[[#This Row],[Number of pupils (FTE)]]</f>
        <v>5031.0880829015541</v>
      </c>
      <c r="BE107" s="598">
        <f>Table35[[#This Row],[Teaching staff]]/Table35[[#This Row],[Number of teachers in academy (FTE)]]</f>
        <v>0</v>
      </c>
      <c r="BF107" s="599">
        <f>Table35[[#This Row],[Number of pupils (FTE)]]/Table35[[#This Row],[Number of teachers in academy (FTE)]]</f>
        <v>22.976190476190474</v>
      </c>
      <c r="BG107" s="600">
        <f t="shared" si="10"/>
        <v>1041.4507772020725</v>
      </c>
      <c r="BH107" s="598">
        <f>Table35[[#This Row],[Premises Costs]]/Table35[[#This Row],[Number of pupils (FTE)]]</f>
        <v>341.96891191709847</v>
      </c>
      <c r="BI107" s="598">
        <f>Table35[[#This Row],[Maintenance &amp; Improvement Costs]]/Table35[[#This Row],[Number of pupils (FTE)]]</f>
        <v>46.632124352331608</v>
      </c>
      <c r="BJ107" s="598" t="e">
        <f>#REF!/E107</f>
        <v>#REF!</v>
      </c>
      <c r="BK107" s="598">
        <f t="shared" si="11"/>
        <v>20.725388601036268</v>
      </c>
      <c r="BL107" s="598">
        <f t="shared" si="12"/>
        <v>15.544041450777202</v>
      </c>
      <c r="BM107" s="598">
        <f t="shared" si="13"/>
        <v>98.445595854922274</v>
      </c>
      <c r="BN107" s="598">
        <f t="shared" si="14"/>
        <v>248.70466321243524</v>
      </c>
      <c r="BO107" s="598">
        <f t="shared" si="15"/>
        <v>56.994818652849744</v>
      </c>
      <c r="BP107" s="598">
        <f t="shared" si="16"/>
        <v>196.89119170984455</v>
      </c>
      <c r="BQ107" s="598">
        <f t="shared" si="17"/>
        <v>709.84455958549222</v>
      </c>
      <c r="BR107" s="598">
        <f t="shared" si="18"/>
        <v>305.69948186528495</v>
      </c>
      <c r="BS107" s="598">
        <f t="shared" si="19"/>
        <v>207.25388601036269</v>
      </c>
    </row>
    <row r="108" spans="1:71" ht="43.5" hidden="1" x14ac:dyDescent="0.35">
      <c r="A108" s="580">
        <v>925</v>
      </c>
      <c r="B108" s="580" t="s">
        <v>489</v>
      </c>
      <c r="C108" s="593" t="s">
        <v>634</v>
      </c>
      <c r="D108" s="593" t="s">
        <v>630</v>
      </c>
      <c r="E108" s="580">
        <v>209</v>
      </c>
      <c r="F108" s="580">
        <v>8.6</v>
      </c>
      <c r="G108" s="580" t="s">
        <v>500</v>
      </c>
      <c r="H108" s="580">
        <v>21.5</v>
      </c>
      <c r="I108" s="580">
        <v>3.4</v>
      </c>
      <c r="J108" s="580">
        <v>8.6</v>
      </c>
      <c r="K108" s="580">
        <v>0</v>
      </c>
      <c r="L108" s="581">
        <v>1305000</v>
      </c>
      <c r="M108" s="581">
        <v>1290000</v>
      </c>
      <c r="N108" s="582">
        <f>Table35[[#This Row],[Total Income]]-Table35[[#This Row],[Total Expenditure]]</f>
        <v>15000</v>
      </c>
      <c r="O108" s="581">
        <v>0</v>
      </c>
      <c r="Z108" s="581">
        <v>980000</v>
      </c>
      <c r="AA108" s="595">
        <f>M108-Z108-Table35[[#This Row],[Maintenance &amp; Improvement]]-Table35[[#This Row],[Cleaning &amp; Caretaking]]-Table35[[#This Row],[Catering Supply]]</f>
        <v>221000</v>
      </c>
      <c r="AB108" s="581">
        <v>8000</v>
      </c>
      <c r="AC108" s="594">
        <v>8000</v>
      </c>
      <c r="AD108" s="594">
        <v>11000</v>
      </c>
      <c r="AE108" s="594">
        <v>35000</v>
      </c>
      <c r="AF108" s="594">
        <v>0</v>
      </c>
      <c r="AG108" s="581">
        <v>54000</v>
      </c>
      <c r="AH108" s="581">
        <v>70000</v>
      </c>
      <c r="AI108" s="596">
        <v>0</v>
      </c>
      <c r="AJ108" s="594">
        <v>70000</v>
      </c>
      <c r="AK108" s="594">
        <v>3000</v>
      </c>
      <c r="AL108" s="594">
        <v>1000</v>
      </c>
      <c r="AM108" s="594">
        <v>20000</v>
      </c>
      <c r="AN108" s="594">
        <v>5000</v>
      </c>
      <c r="AO108" s="594">
        <v>10000</v>
      </c>
      <c r="AP108" s="581">
        <v>109000</v>
      </c>
      <c r="AQ108" s="594">
        <v>31000</v>
      </c>
      <c r="AR108" s="594">
        <v>8000</v>
      </c>
      <c r="AS108" s="594">
        <v>0</v>
      </c>
      <c r="AT108" s="594">
        <v>66000</v>
      </c>
      <c r="AU108" s="581">
        <v>147000</v>
      </c>
      <c r="AV108" s="594">
        <v>31000</v>
      </c>
      <c r="AW108" s="594">
        <v>8000</v>
      </c>
      <c r="AX108" s="594">
        <v>0</v>
      </c>
      <c r="AY108" s="581">
        <v>39000</v>
      </c>
      <c r="AZ108" s="594">
        <v>41000</v>
      </c>
      <c r="BA108" s="594">
        <v>1000</v>
      </c>
      <c r="BB108" s="581">
        <v>42000</v>
      </c>
      <c r="BC108" s="597">
        <f>Table35[[#This Row],[Total Expenditure]]/Table35[[#This Row],[Number of pupils (FTE)]]</f>
        <v>6172.2488038277515</v>
      </c>
      <c r="BD108" s="598">
        <f>Table35[[#This Row],[Total Staff Costs]]/Table35[[#This Row],[Number of pupils (FTE)]]</f>
        <v>4688.9952153110044</v>
      </c>
      <c r="BE108" s="598">
        <f>Table35[[#This Row],[Teaching staff]]/Table35[[#This Row],[Number of teachers in academy (FTE)]]</f>
        <v>0</v>
      </c>
      <c r="BF108" s="599">
        <f>Table35[[#This Row],[Number of pupils (FTE)]]/Table35[[#This Row],[Number of teachers in academy (FTE)]]</f>
        <v>24.302325581395351</v>
      </c>
      <c r="BG108" s="600">
        <f t="shared" si="10"/>
        <v>1057.4162679425838</v>
      </c>
      <c r="BH108" s="598">
        <f>Table35[[#This Row],[Premises Costs]]/Table35[[#This Row],[Number of pupils (FTE)]]</f>
        <v>258.3732057416268</v>
      </c>
      <c r="BI108" s="598">
        <f>Table35[[#This Row],[Maintenance &amp; Improvement Costs]]/Table35[[#This Row],[Number of pupils (FTE)]]</f>
        <v>38.277511961722489</v>
      </c>
      <c r="BJ108" s="598" t="e">
        <f>#REF!/E108</f>
        <v>#REF!</v>
      </c>
      <c r="BK108" s="598">
        <f t="shared" si="11"/>
        <v>14.354066985645932</v>
      </c>
      <c r="BL108" s="598">
        <f t="shared" si="12"/>
        <v>4.7846889952153111</v>
      </c>
      <c r="BM108" s="598">
        <f t="shared" si="13"/>
        <v>95.693779904306226</v>
      </c>
      <c r="BN108" s="598">
        <f t="shared" si="14"/>
        <v>148.32535885167465</v>
      </c>
      <c r="BO108" s="598">
        <f t="shared" si="15"/>
        <v>38.277511961722489</v>
      </c>
      <c r="BP108" s="598">
        <f t="shared" si="16"/>
        <v>315.78947368421052</v>
      </c>
      <c r="BQ108" s="598">
        <f t="shared" si="17"/>
        <v>703.3492822966507</v>
      </c>
      <c r="BR108" s="598">
        <f t="shared" si="18"/>
        <v>186.60287081339712</v>
      </c>
      <c r="BS108" s="598">
        <f t="shared" si="19"/>
        <v>200.95693779904306</v>
      </c>
    </row>
    <row r="109" spans="1:71" ht="43.5" hidden="1" x14ac:dyDescent="0.35">
      <c r="A109" s="580">
        <v>925</v>
      </c>
      <c r="B109" s="580" t="s">
        <v>489</v>
      </c>
      <c r="C109" s="593" t="s">
        <v>635</v>
      </c>
      <c r="D109" s="593" t="s">
        <v>630</v>
      </c>
      <c r="E109" s="580">
        <v>274</v>
      </c>
      <c r="F109" s="580">
        <v>10.199999999999999</v>
      </c>
      <c r="G109" s="580" t="s">
        <v>500</v>
      </c>
      <c r="H109" s="580">
        <v>27</v>
      </c>
      <c r="I109" s="580">
        <v>0.4</v>
      </c>
      <c r="J109" s="580">
        <v>22.3</v>
      </c>
      <c r="K109" s="580">
        <v>0</v>
      </c>
      <c r="L109" s="581">
        <v>1640000</v>
      </c>
      <c r="M109" s="581">
        <v>1764000</v>
      </c>
      <c r="N109" s="582">
        <f>Table35[[#This Row],[Total Income]]-Table35[[#This Row],[Total Expenditure]]</f>
        <v>-124000</v>
      </c>
      <c r="O109" s="581">
        <v>0</v>
      </c>
      <c r="Z109" s="581">
        <v>1396000</v>
      </c>
      <c r="AA109" s="595">
        <f>M109-Z109-Table35[[#This Row],[Maintenance &amp; Improvement]]-Table35[[#This Row],[Cleaning &amp; Caretaking]]-Table35[[#This Row],[Catering Supply]]</f>
        <v>270000</v>
      </c>
      <c r="AB109" s="581">
        <v>10000</v>
      </c>
      <c r="AC109" s="594">
        <v>10000</v>
      </c>
      <c r="AD109" s="594">
        <v>3000</v>
      </c>
      <c r="AE109" s="594">
        <v>62000</v>
      </c>
      <c r="AF109" s="594">
        <v>0</v>
      </c>
      <c r="AG109" s="581">
        <v>75000</v>
      </c>
      <c r="AH109" s="581">
        <v>85000</v>
      </c>
      <c r="AI109" s="596">
        <v>0</v>
      </c>
      <c r="AJ109" s="594">
        <v>85000</v>
      </c>
      <c r="AK109" s="594">
        <v>3000</v>
      </c>
      <c r="AL109" s="594">
        <v>3000</v>
      </c>
      <c r="AM109" s="594">
        <v>24000</v>
      </c>
      <c r="AN109" s="594">
        <v>6000</v>
      </c>
      <c r="AO109" s="594">
        <v>8000</v>
      </c>
      <c r="AP109" s="581">
        <v>129000</v>
      </c>
      <c r="AQ109" s="594">
        <v>58000</v>
      </c>
      <c r="AR109" s="594">
        <v>11000</v>
      </c>
      <c r="AS109" s="594">
        <v>0</v>
      </c>
      <c r="AT109" s="594">
        <v>48000</v>
      </c>
      <c r="AU109" s="581">
        <v>164000</v>
      </c>
      <c r="AV109" s="594">
        <v>58000</v>
      </c>
      <c r="AW109" s="594">
        <v>11000</v>
      </c>
      <c r="AX109" s="594">
        <v>0</v>
      </c>
      <c r="AY109" s="581">
        <v>69000</v>
      </c>
      <c r="AZ109" s="594">
        <v>46000</v>
      </c>
      <c r="BA109" s="594">
        <v>1000</v>
      </c>
      <c r="BB109" s="581">
        <v>47000</v>
      </c>
      <c r="BC109" s="597">
        <f>Table35[[#This Row],[Total Expenditure]]/Table35[[#This Row],[Number of pupils (FTE)]]</f>
        <v>6437.9562043795622</v>
      </c>
      <c r="BD109" s="598">
        <f>Table35[[#This Row],[Total Staff Costs]]/Table35[[#This Row],[Number of pupils (FTE)]]</f>
        <v>5094.8905109489051</v>
      </c>
      <c r="BE109" s="598">
        <f>Table35[[#This Row],[Teaching staff]]/Table35[[#This Row],[Number of teachers in academy (FTE)]]</f>
        <v>0</v>
      </c>
      <c r="BF109" s="599">
        <f>Table35[[#This Row],[Number of pupils (FTE)]]/Table35[[#This Row],[Number of teachers in academy (FTE)]]</f>
        <v>26.862745098039216</v>
      </c>
      <c r="BG109" s="600">
        <f t="shared" si="10"/>
        <v>985.40145985401455</v>
      </c>
      <c r="BH109" s="598">
        <f>Table35[[#This Row],[Premises Costs]]/Table35[[#This Row],[Number of pupils (FTE)]]</f>
        <v>273.72262773722628</v>
      </c>
      <c r="BI109" s="598">
        <f>Table35[[#This Row],[Maintenance &amp; Improvement Costs]]/Table35[[#This Row],[Number of pupils (FTE)]]</f>
        <v>36.496350364963504</v>
      </c>
      <c r="BJ109" s="598" t="e">
        <f>#REF!/E109</f>
        <v>#REF!</v>
      </c>
      <c r="BK109" s="598">
        <f t="shared" si="11"/>
        <v>10.948905109489051</v>
      </c>
      <c r="BL109" s="598">
        <f t="shared" si="12"/>
        <v>10.948905109489051</v>
      </c>
      <c r="BM109" s="598">
        <f t="shared" si="13"/>
        <v>87.591240875912405</v>
      </c>
      <c r="BN109" s="598">
        <f t="shared" si="14"/>
        <v>211.67883211678833</v>
      </c>
      <c r="BO109" s="598">
        <f t="shared" si="15"/>
        <v>40.145985401459853</v>
      </c>
      <c r="BP109" s="598">
        <f t="shared" si="16"/>
        <v>175.18248175182481</v>
      </c>
      <c r="BQ109" s="598">
        <f t="shared" si="17"/>
        <v>598.54014598540141</v>
      </c>
      <c r="BR109" s="598">
        <f t="shared" si="18"/>
        <v>251.82481751824818</v>
      </c>
      <c r="BS109" s="598">
        <f t="shared" si="19"/>
        <v>171.53284671532847</v>
      </c>
    </row>
    <row r="110" spans="1:71" ht="43.5" hidden="1" x14ac:dyDescent="0.35">
      <c r="A110" s="580">
        <v>925</v>
      </c>
      <c r="B110" s="580" t="s">
        <v>489</v>
      </c>
      <c r="C110" s="593" t="s">
        <v>636</v>
      </c>
      <c r="D110" s="593" t="s">
        <v>630</v>
      </c>
      <c r="E110" s="580">
        <v>204</v>
      </c>
      <c r="F110" s="580">
        <v>9</v>
      </c>
      <c r="G110" s="580" t="s">
        <v>500</v>
      </c>
      <c r="H110" s="580">
        <v>49</v>
      </c>
      <c r="I110" s="580">
        <v>2.9</v>
      </c>
      <c r="J110" s="580">
        <v>20.6</v>
      </c>
      <c r="K110" s="580">
        <v>0</v>
      </c>
      <c r="L110" s="581">
        <v>1479000</v>
      </c>
      <c r="M110" s="581">
        <v>1360000</v>
      </c>
      <c r="N110" s="582">
        <f>Table35[[#This Row],[Total Income]]-Table35[[#This Row],[Total Expenditure]]</f>
        <v>119000</v>
      </c>
      <c r="O110" s="581">
        <v>0</v>
      </c>
      <c r="Z110" s="581">
        <v>1042000</v>
      </c>
      <c r="AA110" s="595">
        <f>M110-Z110-Table35[[#This Row],[Maintenance &amp; Improvement]]-Table35[[#This Row],[Cleaning &amp; Caretaking]]-Table35[[#This Row],[Catering Supply]]</f>
        <v>200000</v>
      </c>
      <c r="AB110" s="581">
        <v>13000</v>
      </c>
      <c r="AC110" s="594">
        <v>13000</v>
      </c>
      <c r="AD110" s="594">
        <v>14000</v>
      </c>
      <c r="AE110" s="594">
        <v>38000</v>
      </c>
      <c r="AF110" s="594">
        <v>0</v>
      </c>
      <c r="AG110" s="581">
        <v>65000</v>
      </c>
      <c r="AH110" s="581">
        <v>91000</v>
      </c>
      <c r="AI110" s="596">
        <v>0</v>
      </c>
      <c r="AJ110" s="594">
        <v>91000</v>
      </c>
      <c r="AK110" s="594">
        <v>3000</v>
      </c>
      <c r="AL110" s="594">
        <v>2000</v>
      </c>
      <c r="AM110" s="594">
        <v>29000</v>
      </c>
      <c r="AN110" s="594">
        <v>5000</v>
      </c>
      <c r="AO110" s="594">
        <v>8000</v>
      </c>
      <c r="AP110" s="581">
        <v>138000</v>
      </c>
      <c r="AQ110" s="594">
        <v>23000</v>
      </c>
      <c r="AR110" s="594">
        <v>5000</v>
      </c>
      <c r="AS110" s="594">
        <v>1000</v>
      </c>
      <c r="AT110" s="594">
        <v>57000</v>
      </c>
      <c r="AU110" s="581">
        <v>115000</v>
      </c>
      <c r="AV110" s="594">
        <v>23000</v>
      </c>
      <c r="AW110" s="594">
        <v>5000</v>
      </c>
      <c r="AX110" s="594">
        <v>1000</v>
      </c>
      <c r="AY110" s="581">
        <v>29000</v>
      </c>
      <c r="AZ110" s="594">
        <v>29000</v>
      </c>
      <c r="BA110" s="594">
        <v>0</v>
      </c>
      <c r="BB110" s="581">
        <v>29000</v>
      </c>
      <c r="BC110" s="597">
        <f>Table35[[#This Row],[Total Expenditure]]/Table35[[#This Row],[Number of pupils (FTE)]]</f>
        <v>6666.666666666667</v>
      </c>
      <c r="BD110" s="598">
        <f>Table35[[#This Row],[Total Staff Costs]]/Table35[[#This Row],[Number of pupils (FTE)]]</f>
        <v>5107.8431372549021</v>
      </c>
      <c r="BE110" s="598">
        <f>Table35[[#This Row],[Teaching staff]]/Table35[[#This Row],[Number of teachers in academy (FTE)]]</f>
        <v>0</v>
      </c>
      <c r="BF110" s="599">
        <f>Table35[[#This Row],[Number of pupils (FTE)]]/Table35[[#This Row],[Number of teachers in academy (FTE)]]</f>
        <v>22.666666666666668</v>
      </c>
      <c r="BG110" s="600">
        <f t="shared" si="10"/>
        <v>980.39215686274508</v>
      </c>
      <c r="BH110" s="598">
        <f>Table35[[#This Row],[Premises Costs]]/Table35[[#This Row],[Number of pupils (FTE)]]</f>
        <v>318.62745098039215</v>
      </c>
      <c r="BI110" s="598">
        <f>Table35[[#This Row],[Maintenance &amp; Improvement Costs]]/Table35[[#This Row],[Number of pupils (FTE)]]</f>
        <v>63.725490196078432</v>
      </c>
      <c r="BJ110" s="598" t="e">
        <f>#REF!/E110</f>
        <v>#REF!</v>
      </c>
      <c r="BK110" s="598">
        <f t="shared" si="11"/>
        <v>14.705882352941176</v>
      </c>
      <c r="BL110" s="598">
        <f t="shared" si="12"/>
        <v>9.8039215686274517</v>
      </c>
      <c r="BM110" s="598">
        <f t="shared" si="13"/>
        <v>142.15686274509804</v>
      </c>
      <c r="BN110" s="598">
        <f t="shared" si="14"/>
        <v>112.74509803921569</v>
      </c>
      <c r="BO110" s="598">
        <f t="shared" si="15"/>
        <v>24.509803921568629</v>
      </c>
      <c r="BP110" s="598">
        <f t="shared" si="16"/>
        <v>279.41176470588238</v>
      </c>
      <c r="BQ110" s="598">
        <f t="shared" si="17"/>
        <v>563.72549019607845</v>
      </c>
      <c r="BR110" s="598">
        <f t="shared" si="18"/>
        <v>142.15686274509804</v>
      </c>
      <c r="BS110" s="598">
        <f t="shared" si="19"/>
        <v>142.15686274509804</v>
      </c>
    </row>
    <row r="111" spans="1:71" ht="29" hidden="1" x14ac:dyDescent="0.35">
      <c r="A111" s="580">
        <v>925</v>
      </c>
      <c r="B111" s="580" t="s">
        <v>489</v>
      </c>
      <c r="C111" s="593" t="s">
        <v>637</v>
      </c>
      <c r="D111" s="593" t="s">
        <v>519</v>
      </c>
      <c r="E111" s="580">
        <v>77</v>
      </c>
      <c r="F111" s="580">
        <v>3.58</v>
      </c>
      <c r="G111" s="580" t="s">
        <v>500</v>
      </c>
      <c r="H111" s="580">
        <v>36.700000000000003</v>
      </c>
      <c r="I111" s="580">
        <v>1.3</v>
      </c>
      <c r="J111" s="580">
        <v>16.5</v>
      </c>
      <c r="K111" s="580">
        <v>0</v>
      </c>
      <c r="L111" s="581">
        <v>754000</v>
      </c>
      <c r="M111" s="581">
        <v>696000</v>
      </c>
      <c r="N111" s="582">
        <f>Table35[[#This Row],[Total Income]]-Table35[[#This Row],[Total Expenditure]]</f>
        <v>58000</v>
      </c>
      <c r="O111" s="581">
        <v>0</v>
      </c>
      <c r="Z111" s="581">
        <v>507000</v>
      </c>
      <c r="AA111" s="595">
        <f>M111-Z111-Table35[[#This Row],[Maintenance &amp; Improvement]]-Table35[[#This Row],[Cleaning &amp; Caretaking]]-Table35[[#This Row],[Catering Supply]]</f>
        <v>147000</v>
      </c>
      <c r="AB111" s="581">
        <v>7000</v>
      </c>
      <c r="AC111" s="594">
        <v>7000</v>
      </c>
      <c r="AD111" s="594">
        <v>2000</v>
      </c>
      <c r="AE111" s="594">
        <v>54000</v>
      </c>
      <c r="AF111" s="594">
        <v>0</v>
      </c>
      <c r="AG111" s="581">
        <v>63000</v>
      </c>
      <c r="AH111" s="581">
        <v>42000</v>
      </c>
      <c r="AI111" s="596">
        <v>9000</v>
      </c>
      <c r="AJ111" s="594">
        <v>33000</v>
      </c>
      <c r="AK111" s="594">
        <v>1000</v>
      </c>
      <c r="AL111" s="594">
        <v>5000</v>
      </c>
      <c r="AM111" s="594">
        <v>23000</v>
      </c>
      <c r="AN111" s="594">
        <v>0</v>
      </c>
      <c r="AO111" s="594">
        <v>4000</v>
      </c>
      <c r="AP111" s="581">
        <v>75000</v>
      </c>
      <c r="AQ111" s="594">
        <v>28000</v>
      </c>
      <c r="AR111" s="594">
        <v>4000</v>
      </c>
      <c r="AS111" s="594">
        <v>0</v>
      </c>
      <c r="AT111" s="594">
        <v>3000</v>
      </c>
      <c r="AU111" s="581">
        <v>51000</v>
      </c>
      <c r="AV111" s="594">
        <v>28000</v>
      </c>
      <c r="AW111" s="594">
        <v>4000</v>
      </c>
      <c r="AX111" s="594">
        <v>0</v>
      </c>
      <c r="AY111" s="581">
        <v>32000</v>
      </c>
      <c r="AZ111" s="594">
        <v>16000</v>
      </c>
      <c r="BA111" s="594">
        <v>0</v>
      </c>
      <c r="BB111" s="581">
        <v>16000</v>
      </c>
      <c r="BC111" s="597">
        <f>Table35[[#This Row],[Total Expenditure]]/Table35[[#This Row],[Number of pupils (FTE)]]</f>
        <v>9038.9610389610389</v>
      </c>
      <c r="BD111" s="598">
        <f>Table35[[#This Row],[Total Staff Costs]]/Table35[[#This Row],[Number of pupils (FTE)]]</f>
        <v>6584.4155844155848</v>
      </c>
      <c r="BE111" s="598">
        <f>Table35[[#This Row],[Teaching staff]]/Table35[[#This Row],[Number of teachers in academy (FTE)]]</f>
        <v>0</v>
      </c>
      <c r="BF111" s="599">
        <f>Table35[[#This Row],[Number of pupils (FTE)]]/Table35[[#This Row],[Number of teachers in academy (FTE)]]</f>
        <v>21.508379888268156</v>
      </c>
      <c r="BG111" s="600">
        <f t="shared" si="10"/>
        <v>1909.090909090909</v>
      </c>
      <c r="BH111" s="598">
        <f>Table35[[#This Row],[Premises Costs]]/Table35[[#This Row],[Number of pupils (FTE)]]</f>
        <v>818.18181818181813</v>
      </c>
      <c r="BI111" s="598">
        <f>Table35[[#This Row],[Maintenance &amp; Improvement Costs]]/Table35[[#This Row],[Number of pupils (FTE)]]</f>
        <v>90.909090909090907</v>
      </c>
      <c r="BJ111" s="598" t="e">
        <f>#REF!/E111</f>
        <v>#REF!</v>
      </c>
      <c r="BK111" s="598">
        <f t="shared" si="11"/>
        <v>12.987012987012987</v>
      </c>
      <c r="BL111" s="598">
        <f t="shared" si="12"/>
        <v>64.935064935064929</v>
      </c>
      <c r="BM111" s="598">
        <f t="shared" si="13"/>
        <v>298.7012987012987</v>
      </c>
      <c r="BN111" s="598">
        <f t="shared" si="14"/>
        <v>363.63636363636363</v>
      </c>
      <c r="BO111" s="598">
        <f t="shared" si="15"/>
        <v>51.948051948051948</v>
      </c>
      <c r="BP111" s="598">
        <f t="shared" si="16"/>
        <v>38.961038961038959</v>
      </c>
      <c r="BQ111" s="598">
        <f t="shared" si="17"/>
        <v>662.33766233766232</v>
      </c>
      <c r="BR111" s="598">
        <f t="shared" si="18"/>
        <v>415.58441558441558</v>
      </c>
      <c r="BS111" s="598">
        <f t="shared" si="19"/>
        <v>207.79220779220779</v>
      </c>
    </row>
    <row r="112" spans="1:71" ht="43.5" hidden="1" x14ac:dyDescent="0.35">
      <c r="A112" s="580">
        <v>925</v>
      </c>
      <c r="B112" s="580" t="s">
        <v>489</v>
      </c>
      <c r="C112" s="593" t="s">
        <v>638</v>
      </c>
      <c r="D112" s="593" t="s">
        <v>639</v>
      </c>
      <c r="E112" s="580">
        <v>294</v>
      </c>
      <c r="F112" s="580">
        <v>15.23</v>
      </c>
      <c r="G112" s="580" t="s">
        <v>500</v>
      </c>
      <c r="H112" s="580">
        <v>45.2</v>
      </c>
      <c r="I112" s="580">
        <v>1.7</v>
      </c>
      <c r="J112" s="580">
        <v>18</v>
      </c>
      <c r="K112" s="580">
        <v>0</v>
      </c>
      <c r="L112" s="581">
        <v>340000</v>
      </c>
      <c r="M112" s="581">
        <v>318000</v>
      </c>
      <c r="N112" s="582">
        <f>Table35[[#This Row],[Total Income]]-Table35[[#This Row],[Total Expenditure]]</f>
        <v>22000</v>
      </c>
      <c r="O112" s="581">
        <v>0</v>
      </c>
      <c r="Z112" s="581">
        <v>253000</v>
      </c>
      <c r="AA112" s="595">
        <f>M112-Z112-Table35[[#This Row],[Maintenance &amp; Improvement]]-Table35[[#This Row],[Cleaning &amp; Caretaking]]-Table35[[#This Row],[Catering Supply]]</f>
        <v>50000</v>
      </c>
      <c r="AB112" s="581">
        <v>1000</v>
      </c>
      <c r="AC112" s="594">
        <v>1000</v>
      </c>
      <c r="AD112" s="594">
        <v>1000</v>
      </c>
      <c r="AE112" s="594">
        <v>9000</v>
      </c>
      <c r="AF112" s="594">
        <v>0</v>
      </c>
      <c r="AG112" s="581">
        <v>11000</v>
      </c>
      <c r="AH112" s="581">
        <v>13000</v>
      </c>
      <c r="AI112" s="596">
        <v>0</v>
      </c>
      <c r="AJ112" s="594">
        <v>13000</v>
      </c>
      <c r="AK112" s="594">
        <v>0</v>
      </c>
      <c r="AL112" s="594">
        <v>1000</v>
      </c>
      <c r="AM112" s="594">
        <v>1000</v>
      </c>
      <c r="AN112" s="594">
        <v>0</v>
      </c>
      <c r="AO112" s="594">
        <v>2000</v>
      </c>
      <c r="AP112" s="581">
        <v>17000</v>
      </c>
      <c r="AQ112" s="594">
        <v>6000</v>
      </c>
      <c r="AR112" s="594">
        <v>0</v>
      </c>
      <c r="AS112" s="594">
        <v>0</v>
      </c>
      <c r="AT112" s="594">
        <v>6000</v>
      </c>
      <c r="AU112" s="581">
        <v>37000</v>
      </c>
      <c r="AV112" s="594">
        <v>6000</v>
      </c>
      <c r="AW112" s="594">
        <v>0</v>
      </c>
      <c r="AX112" s="594">
        <v>0</v>
      </c>
      <c r="AY112" s="581">
        <v>6000</v>
      </c>
      <c r="AZ112" s="594">
        <v>7000</v>
      </c>
      <c r="BA112" s="594">
        <v>18000</v>
      </c>
      <c r="BB112" s="581">
        <v>25000</v>
      </c>
      <c r="BC112" s="597">
        <f>Table35[[#This Row],[Total Expenditure]]/Table35[[#This Row],[Number of pupils (FTE)]]</f>
        <v>1081.6326530612246</v>
      </c>
      <c r="BD112" s="598">
        <f>Table35[[#This Row],[Total Staff Costs]]/Table35[[#This Row],[Number of pupils (FTE)]]</f>
        <v>860.54421768707482</v>
      </c>
      <c r="BE112" s="598">
        <f>Table35[[#This Row],[Teaching staff]]/Table35[[#This Row],[Number of teachers in academy (FTE)]]</f>
        <v>0</v>
      </c>
      <c r="BF112" s="599">
        <f>Table35[[#This Row],[Number of pupils (FTE)]]/Table35[[#This Row],[Number of teachers in academy (FTE)]]</f>
        <v>19.304005252790546</v>
      </c>
      <c r="BG112" s="600">
        <f t="shared" si="10"/>
        <v>170.06802721088437</v>
      </c>
      <c r="BH112" s="598">
        <f>Table35[[#This Row],[Premises Costs]]/Table35[[#This Row],[Number of pupils (FTE)]]</f>
        <v>37.414965986394556</v>
      </c>
      <c r="BI112" s="598">
        <f>Table35[[#This Row],[Maintenance &amp; Improvement Costs]]/Table35[[#This Row],[Number of pupils (FTE)]]</f>
        <v>3.4013605442176869</v>
      </c>
      <c r="BJ112" s="598" t="e">
        <f>#REF!/E112</f>
        <v>#REF!</v>
      </c>
      <c r="BK112" s="598">
        <f t="shared" si="11"/>
        <v>0</v>
      </c>
      <c r="BL112" s="598">
        <f t="shared" si="12"/>
        <v>3.4013605442176869</v>
      </c>
      <c r="BM112" s="598">
        <f t="shared" si="13"/>
        <v>3.4013605442176869</v>
      </c>
      <c r="BN112" s="598">
        <f t="shared" si="14"/>
        <v>20.408163265306122</v>
      </c>
      <c r="BO112" s="598">
        <f t="shared" si="15"/>
        <v>0</v>
      </c>
      <c r="BP112" s="598">
        <f t="shared" si="16"/>
        <v>20.408163265306122</v>
      </c>
      <c r="BQ112" s="598">
        <f t="shared" si="17"/>
        <v>125.85034013605443</v>
      </c>
      <c r="BR112" s="598">
        <f t="shared" si="18"/>
        <v>20.408163265306122</v>
      </c>
      <c r="BS112" s="598">
        <f t="shared" si="19"/>
        <v>85.034013605442183</v>
      </c>
    </row>
    <row r="113" spans="1:71" ht="29" hidden="1" x14ac:dyDescent="0.35">
      <c r="A113" s="580">
        <v>925</v>
      </c>
      <c r="B113" s="580" t="s">
        <v>489</v>
      </c>
      <c r="C113" s="593" t="s">
        <v>638</v>
      </c>
      <c r="D113" s="593" t="s">
        <v>519</v>
      </c>
      <c r="E113" s="580">
        <v>294</v>
      </c>
      <c r="F113" s="580">
        <v>15.23</v>
      </c>
      <c r="G113" s="580" t="s">
        <v>500</v>
      </c>
      <c r="H113" s="580">
        <v>45.2</v>
      </c>
      <c r="I113" s="580">
        <v>1.7</v>
      </c>
      <c r="J113" s="580">
        <v>18</v>
      </c>
      <c r="K113" s="580">
        <v>0</v>
      </c>
      <c r="L113" s="581">
        <v>1793000</v>
      </c>
      <c r="M113" s="581">
        <v>1689000</v>
      </c>
      <c r="N113" s="582">
        <f>Table35[[#This Row],[Total Income]]-Table35[[#This Row],[Total Expenditure]]</f>
        <v>104000</v>
      </c>
      <c r="O113" s="581">
        <v>0</v>
      </c>
      <c r="Z113" s="581">
        <v>1376000</v>
      </c>
      <c r="AA113" s="595">
        <f>M113-Z113-Table35[[#This Row],[Maintenance &amp; Improvement]]-Table35[[#This Row],[Cleaning &amp; Caretaking]]-Table35[[#This Row],[Catering Supply]]</f>
        <v>203000</v>
      </c>
      <c r="AB113" s="581">
        <v>21000</v>
      </c>
      <c r="AC113" s="594">
        <v>21000</v>
      </c>
      <c r="AD113" s="594">
        <v>3000</v>
      </c>
      <c r="AE113" s="594">
        <v>41000</v>
      </c>
      <c r="AF113" s="594">
        <v>0</v>
      </c>
      <c r="AG113" s="581">
        <v>65000</v>
      </c>
      <c r="AH113" s="581">
        <v>86000</v>
      </c>
      <c r="AI113" s="596">
        <v>0</v>
      </c>
      <c r="AJ113" s="594">
        <v>86000</v>
      </c>
      <c r="AK113" s="594">
        <v>3000</v>
      </c>
      <c r="AL113" s="594">
        <v>6000</v>
      </c>
      <c r="AM113" s="594">
        <v>26000</v>
      </c>
      <c r="AN113" s="594">
        <v>5000</v>
      </c>
      <c r="AO113" s="594">
        <v>3000</v>
      </c>
      <c r="AP113" s="581">
        <v>129000</v>
      </c>
      <c r="AQ113" s="594">
        <v>58000</v>
      </c>
      <c r="AR113" s="594">
        <v>2000</v>
      </c>
      <c r="AS113" s="594">
        <v>0</v>
      </c>
      <c r="AT113" s="594">
        <v>15000</v>
      </c>
      <c r="AU113" s="581">
        <v>119000</v>
      </c>
      <c r="AV113" s="594">
        <v>58000</v>
      </c>
      <c r="AW113" s="594">
        <v>2000</v>
      </c>
      <c r="AX113" s="594">
        <v>0</v>
      </c>
      <c r="AY113" s="581">
        <v>60000</v>
      </c>
      <c r="AZ113" s="594">
        <v>31000</v>
      </c>
      <c r="BA113" s="594">
        <v>13000</v>
      </c>
      <c r="BB113" s="581">
        <v>44000</v>
      </c>
      <c r="BC113" s="597">
        <f>Table35[[#This Row],[Total Expenditure]]/Table35[[#This Row],[Number of pupils (FTE)]]</f>
        <v>5744.8979591836733</v>
      </c>
      <c r="BD113" s="598">
        <f>Table35[[#This Row],[Total Staff Costs]]/Table35[[#This Row],[Number of pupils (FTE)]]</f>
        <v>4680.2721088435374</v>
      </c>
      <c r="BE113" s="598">
        <f>Table35[[#This Row],[Teaching staff]]/Table35[[#This Row],[Number of teachers in academy (FTE)]]</f>
        <v>0</v>
      </c>
      <c r="BF113" s="599">
        <f>Table35[[#This Row],[Number of pupils (FTE)]]/Table35[[#This Row],[Number of teachers in academy (FTE)]]</f>
        <v>19.304005252790546</v>
      </c>
      <c r="BG113" s="600">
        <f t="shared" si="10"/>
        <v>690.47619047619048</v>
      </c>
      <c r="BH113" s="598">
        <f>Table35[[#This Row],[Premises Costs]]/Table35[[#This Row],[Number of pupils (FTE)]]</f>
        <v>221.08843537414967</v>
      </c>
      <c r="BI113" s="598">
        <f>Table35[[#This Row],[Maintenance &amp; Improvement Costs]]/Table35[[#This Row],[Number of pupils (FTE)]]</f>
        <v>71.428571428571431</v>
      </c>
      <c r="BJ113" s="598" t="e">
        <f>#REF!/E113</f>
        <v>#REF!</v>
      </c>
      <c r="BK113" s="598">
        <f t="shared" si="11"/>
        <v>10.204081632653061</v>
      </c>
      <c r="BL113" s="598">
        <f t="shared" si="12"/>
        <v>20.408163265306122</v>
      </c>
      <c r="BM113" s="598">
        <f t="shared" si="13"/>
        <v>88.435374149659864</v>
      </c>
      <c r="BN113" s="598">
        <f t="shared" si="14"/>
        <v>197.27891156462584</v>
      </c>
      <c r="BO113" s="598">
        <f t="shared" si="15"/>
        <v>6.8027210884353737</v>
      </c>
      <c r="BP113" s="598">
        <f t="shared" si="16"/>
        <v>51.020408163265309</v>
      </c>
      <c r="BQ113" s="598">
        <f t="shared" si="17"/>
        <v>404.76190476190476</v>
      </c>
      <c r="BR113" s="598">
        <f t="shared" si="18"/>
        <v>204.08163265306123</v>
      </c>
      <c r="BS113" s="598">
        <f t="shared" si="19"/>
        <v>149.65986394557822</v>
      </c>
    </row>
    <row r="114" spans="1:71" hidden="1" x14ac:dyDescent="0.35">
      <c r="A114" s="580">
        <v>925</v>
      </c>
      <c r="B114" s="580" t="s">
        <v>489</v>
      </c>
      <c r="C114" s="593" t="s">
        <v>640</v>
      </c>
      <c r="D114" s="593" t="s">
        <v>530</v>
      </c>
      <c r="E114" s="580">
        <v>398</v>
      </c>
      <c r="F114" s="580">
        <v>18.600000000000001</v>
      </c>
      <c r="G114" s="580" t="s">
        <v>500</v>
      </c>
      <c r="H114" s="580">
        <v>10.3</v>
      </c>
      <c r="I114" s="580">
        <v>2.2999999999999998</v>
      </c>
      <c r="J114" s="580">
        <v>3</v>
      </c>
      <c r="K114" s="580">
        <v>0</v>
      </c>
      <c r="L114" s="581">
        <v>4264000</v>
      </c>
      <c r="M114" s="581">
        <v>4127000</v>
      </c>
      <c r="N114" s="582">
        <f>Table35[[#This Row],[Total Income]]-Table35[[#This Row],[Total Expenditure]]</f>
        <v>137000</v>
      </c>
      <c r="O114" s="581">
        <v>0</v>
      </c>
      <c r="Z114" s="581">
        <v>2463000</v>
      </c>
      <c r="AA114" s="595">
        <f>M114-Z114-Table35[[#This Row],[Maintenance &amp; Improvement]]-Table35[[#This Row],[Cleaning &amp; Caretaking]]-Table35[[#This Row],[Catering Supply]]</f>
        <v>1517000</v>
      </c>
      <c r="AB114" s="581">
        <v>20000</v>
      </c>
      <c r="AC114" s="594">
        <v>20000</v>
      </c>
      <c r="AD114" s="594">
        <v>38000</v>
      </c>
      <c r="AE114" s="594">
        <v>39000</v>
      </c>
      <c r="AF114" s="594">
        <v>0</v>
      </c>
      <c r="AG114" s="581">
        <v>97000</v>
      </c>
      <c r="AH114" s="581">
        <v>89000</v>
      </c>
      <c r="AI114" s="596">
        <v>0</v>
      </c>
      <c r="AJ114" s="594">
        <v>89000</v>
      </c>
      <c r="AK114" s="594">
        <v>3000</v>
      </c>
      <c r="AL114" s="594">
        <v>13000</v>
      </c>
      <c r="AM114" s="594">
        <v>39000</v>
      </c>
      <c r="AN114" s="594">
        <v>10000</v>
      </c>
      <c r="AO114" s="594">
        <v>33000</v>
      </c>
      <c r="AP114" s="581">
        <v>187000</v>
      </c>
      <c r="AQ114" s="594">
        <v>1047000</v>
      </c>
      <c r="AR114" s="594">
        <v>-6000</v>
      </c>
      <c r="AS114" s="594">
        <v>0</v>
      </c>
      <c r="AT114" s="594">
        <v>302000</v>
      </c>
      <c r="AU114" s="581">
        <v>1380000</v>
      </c>
      <c r="AV114" s="594">
        <v>1047000</v>
      </c>
      <c r="AW114" s="594">
        <v>-6000</v>
      </c>
      <c r="AX114" s="594">
        <v>0</v>
      </c>
      <c r="AY114" s="581">
        <v>1041000</v>
      </c>
      <c r="AZ114" s="594">
        <v>34000</v>
      </c>
      <c r="BA114" s="594">
        <v>3000</v>
      </c>
      <c r="BB114" s="581">
        <v>37000</v>
      </c>
      <c r="BC114" s="597">
        <f>Table35[[#This Row],[Total Expenditure]]/Table35[[#This Row],[Number of pupils (FTE)]]</f>
        <v>10369.346733668342</v>
      </c>
      <c r="BD114" s="598">
        <f>Table35[[#This Row],[Total Staff Costs]]/Table35[[#This Row],[Number of pupils (FTE)]]</f>
        <v>6188.4422110552759</v>
      </c>
      <c r="BE114" s="598">
        <f>Table35[[#This Row],[Teaching staff]]/Table35[[#This Row],[Number of teachers in academy (FTE)]]</f>
        <v>0</v>
      </c>
      <c r="BF114" s="599">
        <f>Table35[[#This Row],[Number of pupils (FTE)]]/Table35[[#This Row],[Number of teachers in academy (FTE)]]</f>
        <v>21.397849462365588</v>
      </c>
      <c r="BG114" s="600">
        <f t="shared" si="10"/>
        <v>3811.5577889447236</v>
      </c>
      <c r="BH114" s="598">
        <f>Table35[[#This Row],[Premises Costs]]/Table35[[#This Row],[Number of pupils (FTE)]]</f>
        <v>243.71859296482413</v>
      </c>
      <c r="BI114" s="598">
        <f>Table35[[#This Row],[Maintenance &amp; Improvement Costs]]/Table35[[#This Row],[Number of pupils (FTE)]]</f>
        <v>50.251256281407038</v>
      </c>
      <c r="BJ114" s="598" t="e">
        <f>#REF!/E114</f>
        <v>#REF!</v>
      </c>
      <c r="BK114" s="598">
        <f t="shared" si="11"/>
        <v>7.5376884422110555</v>
      </c>
      <c r="BL114" s="598">
        <f t="shared" si="12"/>
        <v>32.663316582914575</v>
      </c>
      <c r="BM114" s="598">
        <f t="shared" si="13"/>
        <v>97.989949748743712</v>
      </c>
      <c r="BN114" s="598">
        <f t="shared" si="14"/>
        <v>2630.6532663316584</v>
      </c>
      <c r="BO114" s="598">
        <f t="shared" si="15"/>
        <v>-15.075376884422111</v>
      </c>
      <c r="BP114" s="598">
        <f t="shared" si="16"/>
        <v>758.7939698492462</v>
      </c>
      <c r="BQ114" s="598">
        <f t="shared" si="17"/>
        <v>3467.3366834170856</v>
      </c>
      <c r="BR114" s="598">
        <f t="shared" si="18"/>
        <v>2615.577889447236</v>
      </c>
      <c r="BS114" s="598">
        <f t="shared" si="19"/>
        <v>92.964824120603012</v>
      </c>
    </row>
    <row r="115" spans="1:71" ht="29" hidden="1" x14ac:dyDescent="0.35">
      <c r="A115" s="580">
        <v>925</v>
      </c>
      <c r="B115" s="580" t="s">
        <v>489</v>
      </c>
      <c r="C115" s="593" t="s">
        <v>641</v>
      </c>
      <c r="D115" s="593" t="s">
        <v>521</v>
      </c>
      <c r="E115" s="580">
        <v>657</v>
      </c>
      <c r="F115" s="580">
        <v>30.2</v>
      </c>
      <c r="G115" s="580" t="s">
        <v>500</v>
      </c>
      <c r="H115" s="580">
        <v>23.3</v>
      </c>
      <c r="I115" s="580">
        <v>3.5</v>
      </c>
      <c r="J115" s="580">
        <v>6.2</v>
      </c>
      <c r="K115" s="580">
        <v>0</v>
      </c>
      <c r="L115" s="581">
        <v>4533000</v>
      </c>
      <c r="M115" s="581">
        <v>4677000</v>
      </c>
      <c r="N115" s="582">
        <f>Table35[[#This Row],[Total Income]]-Table35[[#This Row],[Total Expenditure]]</f>
        <v>-144000</v>
      </c>
      <c r="O115" s="581">
        <v>34000</v>
      </c>
      <c r="Z115" s="581">
        <v>3846000</v>
      </c>
      <c r="AA115" s="595">
        <f>M115-Z115-Table35[[#This Row],[Maintenance &amp; Improvement]]-Table35[[#This Row],[Cleaning &amp; Caretaking]]-Table35[[#This Row],[Catering Supply]]</f>
        <v>471000</v>
      </c>
      <c r="AB115" s="581">
        <v>150000</v>
      </c>
      <c r="AC115" s="594">
        <v>150000</v>
      </c>
      <c r="AD115" s="594">
        <v>57000</v>
      </c>
      <c r="AE115" s="594">
        <v>42000</v>
      </c>
      <c r="AF115" s="594">
        <v>0</v>
      </c>
      <c r="AG115" s="581">
        <v>249000</v>
      </c>
      <c r="AH115" s="581">
        <v>153000</v>
      </c>
      <c r="AI115" s="596">
        <v>0</v>
      </c>
      <c r="AJ115" s="594">
        <v>153000</v>
      </c>
      <c r="AK115" s="594">
        <v>8000</v>
      </c>
      <c r="AL115" s="594">
        <v>13000</v>
      </c>
      <c r="AM115" s="594">
        <v>115000</v>
      </c>
      <c r="AN115" s="594">
        <v>18000</v>
      </c>
      <c r="AO115" s="594">
        <v>27000</v>
      </c>
      <c r="AP115" s="581">
        <v>334000</v>
      </c>
      <c r="AQ115" s="594">
        <v>160000</v>
      </c>
      <c r="AR115" s="594">
        <v>34000</v>
      </c>
      <c r="AS115" s="594">
        <v>0</v>
      </c>
      <c r="AT115" s="594">
        <v>9000</v>
      </c>
      <c r="AU115" s="581">
        <v>248000</v>
      </c>
      <c r="AV115" s="594">
        <v>160000</v>
      </c>
      <c r="AW115" s="594">
        <v>34000</v>
      </c>
      <c r="AX115" s="594">
        <v>0</v>
      </c>
      <c r="AY115" s="581">
        <v>194000</v>
      </c>
      <c r="AZ115" s="594">
        <v>0</v>
      </c>
      <c r="BA115" s="594">
        <v>45000</v>
      </c>
      <c r="BB115" s="581">
        <v>45000</v>
      </c>
      <c r="BC115" s="597">
        <f>Table35[[#This Row],[Total Expenditure]]/Table35[[#This Row],[Number of pupils (FTE)]]</f>
        <v>7118.721461187215</v>
      </c>
      <c r="BD115" s="598">
        <f>Table35[[#This Row],[Total Staff Costs]]/Table35[[#This Row],[Number of pupils (FTE)]]</f>
        <v>5853.8812785388127</v>
      </c>
      <c r="BE115" s="598">
        <f>Table35[[#This Row],[Teaching staff]]/Table35[[#This Row],[Number of teachers in academy (FTE)]]</f>
        <v>0</v>
      </c>
      <c r="BF115" s="599">
        <f>Table35[[#This Row],[Number of pupils (FTE)]]/Table35[[#This Row],[Number of teachers in academy (FTE)]]</f>
        <v>21.754966887417218</v>
      </c>
      <c r="BG115" s="600">
        <f t="shared" si="10"/>
        <v>716.89497716894982</v>
      </c>
      <c r="BH115" s="598">
        <f>Table35[[#This Row],[Premises Costs]]/Table35[[#This Row],[Number of pupils (FTE)]]</f>
        <v>378.99543378995435</v>
      </c>
      <c r="BI115" s="598">
        <f>Table35[[#This Row],[Maintenance &amp; Improvement Costs]]/Table35[[#This Row],[Number of pupils (FTE)]]</f>
        <v>228.31050228310502</v>
      </c>
      <c r="BJ115" s="598" t="e">
        <f>#REF!/E115</f>
        <v>#REF!</v>
      </c>
      <c r="BK115" s="598">
        <f t="shared" si="11"/>
        <v>12.176560121765601</v>
      </c>
      <c r="BL115" s="598">
        <f t="shared" si="12"/>
        <v>19.786910197869101</v>
      </c>
      <c r="BM115" s="598">
        <f t="shared" si="13"/>
        <v>175.0380517503805</v>
      </c>
      <c r="BN115" s="598">
        <f t="shared" si="14"/>
        <v>243.53120243531203</v>
      </c>
      <c r="BO115" s="598">
        <f t="shared" si="15"/>
        <v>51.750380517503807</v>
      </c>
      <c r="BP115" s="598">
        <f t="shared" si="16"/>
        <v>13.698630136986301</v>
      </c>
      <c r="BQ115" s="598">
        <f t="shared" si="17"/>
        <v>377.47336377473363</v>
      </c>
      <c r="BR115" s="598">
        <f t="shared" si="18"/>
        <v>295.28158295281582</v>
      </c>
      <c r="BS115" s="598">
        <f t="shared" si="19"/>
        <v>68.493150684931507</v>
      </c>
    </row>
    <row r="116" spans="1:71" ht="29" hidden="1" x14ac:dyDescent="0.35">
      <c r="A116" s="580">
        <v>925</v>
      </c>
      <c r="B116" s="580" t="s">
        <v>489</v>
      </c>
      <c r="C116" s="593" t="s">
        <v>642</v>
      </c>
      <c r="D116" s="593" t="s">
        <v>643</v>
      </c>
      <c r="E116" s="580">
        <v>1520</v>
      </c>
      <c r="F116" s="580">
        <v>97</v>
      </c>
      <c r="G116" s="580" t="s">
        <v>644</v>
      </c>
      <c r="H116" s="580">
        <v>18.899999999999999</v>
      </c>
      <c r="I116" s="580">
        <v>3.2</v>
      </c>
      <c r="J116" s="580">
        <v>11.8</v>
      </c>
      <c r="K116" s="580">
        <v>273</v>
      </c>
      <c r="L116" s="581">
        <v>10743000</v>
      </c>
      <c r="M116" s="581">
        <v>10047000</v>
      </c>
      <c r="N116" s="582">
        <f>Table35[[#This Row],[Total Income]]-Table35[[#This Row],[Total Expenditure]]</f>
        <v>696000</v>
      </c>
      <c r="O116" s="581">
        <v>0</v>
      </c>
      <c r="Z116" s="581">
        <v>7871000</v>
      </c>
      <c r="AA116" s="595">
        <f>M116-Z116-Table35[[#This Row],[Maintenance &amp; Improvement]]-Table35[[#This Row],[Cleaning &amp; Caretaking]]-Table35[[#This Row],[Catering Supply]]</f>
        <v>1439000</v>
      </c>
      <c r="AB116" s="581">
        <v>145000</v>
      </c>
      <c r="AC116" s="594">
        <v>145000</v>
      </c>
      <c r="AD116" s="594">
        <v>133000</v>
      </c>
      <c r="AE116" s="594">
        <v>114000</v>
      </c>
      <c r="AF116" s="594">
        <v>0</v>
      </c>
      <c r="AG116" s="581">
        <v>392000</v>
      </c>
      <c r="AH116" s="581">
        <v>575000</v>
      </c>
      <c r="AI116" s="596">
        <v>116000</v>
      </c>
      <c r="AJ116" s="594">
        <v>459000</v>
      </c>
      <c r="AK116" s="594">
        <v>13000</v>
      </c>
      <c r="AL116" s="594">
        <v>38000</v>
      </c>
      <c r="AM116" s="594">
        <v>231000</v>
      </c>
      <c r="AN116" s="594">
        <v>49000</v>
      </c>
      <c r="AO116" s="594">
        <v>22000</v>
      </c>
      <c r="AP116" s="581">
        <v>928000</v>
      </c>
      <c r="AQ116" s="594">
        <v>199000</v>
      </c>
      <c r="AR116" s="594">
        <v>0</v>
      </c>
      <c r="AS116" s="594">
        <v>180000</v>
      </c>
      <c r="AT116" s="594">
        <v>447000</v>
      </c>
      <c r="AU116" s="581">
        <v>856000</v>
      </c>
      <c r="AV116" s="594">
        <v>199000</v>
      </c>
      <c r="AW116" s="594">
        <v>0</v>
      </c>
      <c r="AX116" s="594">
        <v>180000</v>
      </c>
      <c r="AY116" s="581">
        <v>379000</v>
      </c>
      <c r="AZ116" s="594">
        <v>0</v>
      </c>
      <c r="BA116" s="594">
        <v>30000</v>
      </c>
      <c r="BB116" s="581">
        <v>30000</v>
      </c>
      <c r="BC116" s="597">
        <f>Table35[[#This Row],[Total Expenditure]]/Table35[[#This Row],[Number of pupils (FTE)]]</f>
        <v>6609.8684210526317</v>
      </c>
      <c r="BD116" s="598">
        <f>Table35[[#This Row],[Total Staff Costs]]/Table35[[#This Row],[Number of pupils (FTE)]]</f>
        <v>5178.2894736842109</v>
      </c>
      <c r="BE116" s="598">
        <f>Table35[[#This Row],[Teaching staff]]/Table35[[#This Row],[Number of teachers in academy (FTE)]]</f>
        <v>0</v>
      </c>
      <c r="BF116" s="599">
        <f>Table35[[#This Row],[Number of pupils (FTE)]]/Table35[[#This Row],[Number of teachers in academy (FTE)]]</f>
        <v>15.670103092783505</v>
      </c>
      <c r="BG116" s="600">
        <f t="shared" si="10"/>
        <v>946.71052631578948</v>
      </c>
      <c r="BH116" s="598">
        <f>Table35[[#This Row],[Premises Costs]]/Table35[[#This Row],[Number of pupils (FTE)]]</f>
        <v>257.89473684210526</v>
      </c>
      <c r="BI116" s="598">
        <f>Table35[[#This Row],[Maintenance &amp; Improvement Costs]]/Table35[[#This Row],[Number of pupils (FTE)]]</f>
        <v>95.39473684210526</v>
      </c>
      <c r="BJ116" s="598" t="e">
        <f>#REF!/E116</f>
        <v>#REF!</v>
      </c>
      <c r="BK116" s="598">
        <f t="shared" si="11"/>
        <v>8.5526315789473681</v>
      </c>
      <c r="BL116" s="598">
        <f t="shared" si="12"/>
        <v>25</v>
      </c>
      <c r="BM116" s="598">
        <f t="shared" si="13"/>
        <v>151.97368421052633</v>
      </c>
      <c r="BN116" s="598">
        <f t="shared" si="14"/>
        <v>130.92105263157896</v>
      </c>
      <c r="BO116" s="598">
        <f t="shared" si="15"/>
        <v>0</v>
      </c>
      <c r="BP116" s="598">
        <f t="shared" si="16"/>
        <v>294.07894736842104</v>
      </c>
      <c r="BQ116" s="598">
        <f t="shared" si="17"/>
        <v>563.15789473684208</v>
      </c>
      <c r="BR116" s="598">
        <f t="shared" si="18"/>
        <v>249.34210526315789</v>
      </c>
      <c r="BS116" s="598">
        <f t="shared" si="19"/>
        <v>19.736842105263158</v>
      </c>
    </row>
    <row r="117" spans="1:71" ht="29" hidden="1" x14ac:dyDescent="0.35">
      <c r="A117" s="580">
        <v>925</v>
      </c>
      <c r="B117" s="580" t="s">
        <v>489</v>
      </c>
      <c r="C117" s="593" t="s">
        <v>645</v>
      </c>
      <c r="D117" s="593" t="s">
        <v>538</v>
      </c>
      <c r="E117" s="580">
        <v>1390</v>
      </c>
      <c r="F117" s="580">
        <v>104.39</v>
      </c>
      <c r="G117" s="580" t="s">
        <v>644</v>
      </c>
      <c r="H117" s="580">
        <v>29.6</v>
      </c>
      <c r="I117" s="580">
        <v>2.9</v>
      </c>
      <c r="J117" s="580">
        <v>21.1</v>
      </c>
      <c r="K117" s="580">
        <v>234</v>
      </c>
      <c r="L117" s="581">
        <v>12196000</v>
      </c>
      <c r="M117" s="581">
        <v>11995000</v>
      </c>
      <c r="N117" s="582">
        <f>Table35[[#This Row],[Total Income]]-Table35[[#This Row],[Total Expenditure]]</f>
        <v>201000</v>
      </c>
      <c r="O117" s="581">
        <v>432000</v>
      </c>
      <c r="Z117" s="581">
        <v>9791000</v>
      </c>
      <c r="AA117" s="595">
        <f>M117-Z117-Table35[[#This Row],[Maintenance &amp; Improvement]]-Table35[[#This Row],[Cleaning &amp; Caretaking]]-Table35[[#This Row],[Catering Supply]]</f>
        <v>1926000</v>
      </c>
      <c r="AB117" s="581">
        <v>128000</v>
      </c>
      <c r="AC117" s="594">
        <v>128000</v>
      </c>
      <c r="AD117" s="594">
        <v>16000</v>
      </c>
      <c r="AE117" s="594">
        <v>356000</v>
      </c>
      <c r="AF117" s="594">
        <v>0</v>
      </c>
      <c r="AG117" s="581">
        <v>500000</v>
      </c>
      <c r="AH117" s="581">
        <v>133000</v>
      </c>
      <c r="AI117" s="596">
        <v>-1000</v>
      </c>
      <c r="AJ117" s="594">
        <v>134000</v>
      </c>
      <c r="AK117" s="594">
        <v>20000</v>
      </c>
      <c r="AL117" s="594">
        <v>67000</v>
      </c>
      <c r="AM117" s="594">
        <v>339000</v>
      </c>
      <c r="AN117" s="594">
        <v>33000</v>
      </c>
      <c r="AO117" s="594">
        <v>36000</v>
      </c>
      <c r="AP117" s="581">
        <v>628000</v>
      </c>
      <c r="AQ117" s="594">
        <v>348000</v>
      </c>
      <c r="AR117" s="594">
        <v>109000</v>
      </c>
      <c r="AS117" s="594">
        <v>270000</v>
      </c>
      <c r="AT117" s="594">
        <v>261000</v>
      </c>
      <c r="AU117" s="581">
        <v>1076000</v>
      </c>
      <c r="AV117" s="594">
        <v>348000</v>
      </c>
      <c r="AW117" s="594">
        <v>109000</v>
      </c>
      <c r="AX117" s="594">
        <v>270000</v>
      </c>
      <c r="AY117" s="581">
        <v>727000</v>
      </c>
      <c r="AZ117" s="594">
        <v>57000</v>
      </c>
      <c r="BA117" s="594">
        <v>31000</v>
      </c>
      <c r="BB117" s="581">
        <v>88000</v>
      </c>
      <c r="BC117" s="597">
        <f>Table35[[#This Row],[Total Expenditure]]/Table35[[#This Row],[Number of pupils (FTE)]]</f>
        <v>8629.4964028776976</v>
      </c>
      <c r="BD117" s="598">
        <f>Table35[[#This Row],[Total Staff Costs]]/Table35[[#This Row],[Number of pupils (FTE)]]</f>
        <v>7043.8848920863311</v>
      </c>
      <c r="BE117" s="598">
        <f>Table35[[#This Row],[Teaching staff]]/Table35[[#This Row],[Number of teachers in academy (FTE)]]</f>
        <v>0</v>
      </c>
      <c r="BF117" s="599">
        <f>Table35[[#This Row],[Number of pupils (FTE)]]/Table35[[#This Row],[Number of teachers in academy (FTE)]]</f>
        <v>13.315451671616055</v>
      </c>
      <c r="BG117" s="600">
        <f t="shared" si="10"/>
        <v>1385.611510791367</v>
      </c>
      <c r="BH117" s="598">
        <f>Table35[[#This Row],[Premises Costs]]/Table35[[#This Row],[Number of pupils (FTE)]]</f>
        <v>359.71223021582733</v>
      </c>
      <c r="BI117" s="598">
        <f>Table35[[#This Row],[Maintenance &amp; Improvement Costs]]/Table35[[#This Row],[Number of pupils (FTE)]]</f>
        <v>92.086330935251794</v>
      </c>
      <c r="BJ117" s="598" t="e">
        <f>#REF!/E117</f>
        <v>#REF!</v>
      </c>
      <c r="BK117" s="598">
        <f t="shared" si="11"/>
        <v>14.388489208633093</v>
      </c>
      <c r="BL117" s="598">
        <f t="shared" si="12"/>
        <v>48.201438848920866</v>
      </c>
      <c r="BM117" s="598">
        <f t="shared" si="13"/>
        <v>243.88489208633092</v>
      </c>
      <c r="BN117" s="598">
        <f t="shared" si="14"/>
        <v>250.35971223021582</v>
      </c>
      <c r="BO117" s="598">
        <f t="shared" si="15"/>
        <v>78.417266187050359</v>
      </c>
      <c r="BP117" s="598">
        <f t="shared" si="16"/>
        <v>187.76978417266187</v>
      </c>
      <c r="BQ117" s="598">
        <f t="shared" si="17"/>
        <v>774.10071942446041</v>
      </c>
      <c r="BR117" s="598">
        <f t="shared" si="18"/>
        <v>523.02158273381292</v>
      </c>
      <c r="BS117" s="598">
        <f t="shared" si="19"/>
        <v>63.309352517985609</v>
      </c>
    </row>
    <row r="118" spans="1:71" ht="29" hidden="1" x14ac:dyDescent="0.35">
      <c r="A118" s="580">
        <v>925</v>
      </c>
      <c r="B118" s="580" t="s">
        <v>489</v>
      </c>
      <c r="C118" s="593" t="s">
        <v>646</v>
      </c>
      <c r="D118" s="593" t="s">
        <v>528</v>
      </c>
      <c r="E118" s="580">
        <v>395</v>
      </c>
      <c r="F118" s="580">
        <v>30.6</v>
      </c>
      <c r="G118" s="580" t="s">
        <v>644</v>
      </c>
      <c r="H118" s="580">
        <v>41</v>
      </c>
      <c r="I118" s="580">
        <v>2.8</v>
      </c>
      <c r="J118" s="580">
        <v>24.6</v>
      </c>
      <c r="K118" s="580">
        <v>0</v>
      </c>
      <c r="L118" s="581">
        <v>4237000</v>
      </c>
      <c r="M118" s="581">
        <v>3980000</v>
      </c>
      <c r="N118" s="582">
        <f>Table35[[#This Row],[Total Income]]-Table35[[#This Row],[Total Expenditure]]</f>
        <v>257000</v>
      </c>
      <c r="O118" s="581">
        <v>257000</v>
      </c>
      <c r="Z118" s="581">
        <v>2968000</v>
      </c>
      <c r="AA118" s="595">
        <f>M118-Z118-Table35[[#This Row],[Maintenance &amp; Improvement]]-Table35[[#This Row],[Cleaning &amp; Caretaking]]-Table35[[#This Row],[Catering Supply]]</f>
        <v>740000</v>
      </c>
      <c r="AB118" s="581">
        <v>110000</v>
      </c>
      <c r="AC118" s="594">
        <v>110000</v>
      </c>
      <c r="AD118" s="594">
        <v>62000</v>
      </c>
      <c r="AE118" s="594">
        <v>81000</v>
      </c>
      <c r="AF118" s="594">
        <v>0</v>
      </c>
      <c r="AG118" s="581">
        <v>253000</v>
      </c>
      <c r="AH118" s="581">
        <v>244000</v>
      </c>
      <c r="AI118" s="596">
        <v>144000</v>
      </c>
      <c r="AJ118" s="594">
        <v>100000</v>
      </c>
      <c r="AK118" s="594">
        <v>9000</v>
      </c>
      <c r="AL118" s="594">
        <v>35000</v>
      </c>
      <c r="AM118" s="594">
        <v>82000</v>
      </c>
      <c r="AN118" s="594">
        <v>12000</v>
      </c>
      <c r="AO118" s="594">
        <v>18000</v>
      </c>
      <c r="AP118" s="581">
        <v>400000</v>
      </c>
      <c r="AQ118" s="594">
        <v>141000</v>
      </c>
      <c r="AR118" s="594">
        <v>0</v>
      </c>
      <c r="AS118" s="594">
        <v>52000</v>
      </c>
      <c r="AT118" s="594">
        <v>88000</v>
      </c>
      <c r="AU118" s="581">
        <v>337000</v>
      </c>
      <c r="AV118" s="594">
        <v>141000</v>
      </c>
      <c r="AW118" s="594">
        <v>0</v>
      </c>
      <c r="AX118" s="594">
        <v>52000</v>
      </c>
      <c r="AY118" s="581">
        <v>193000</v>
      </c>
      <c r="AZ118" s="594">
        <v>47000</v>
      </c>
      <c r="BA118" s="594">
        <v>9000</v>
      </c>
      <c r="BB118" s="581">
        <v>56000</v>
      </c>
      <c r="BC118" s="597">
        <f>Table35[[#This Row],[Total Expenditure]]/Table35[[#This Row],[Number of pupils (FTE)]]</f>
        <v>10075.949367088608</v>
      </c>
      <c r="BD118" s="598">
        <f>Table35[[#This Row],[Total Staff Costs]]/Table35[[#This Row],[Number of pupils (FTE)]]</f>
        <v>7513.9240506329115</v>
      </c>
      <c r="BE118" s="598">
        <f>Table35[[#This Row],[Teaching staff]]/Table35[[#This Row],[Number of teachers in academy (FTE)]]</f>
        <v>0</v>
      </c>
      <c r="BF118" s="599">
        <f>Table35[[#This Row],[Number of pupils (FTE)]]/Table35[[#This Row],[Number of teachers in academy (FTE)]]</f>
        <v>12.908496732026142</v>
      </c>
      <c r="BG118" s="600">
        <f t="shared" si="10"/>
        <v>1873.4177215189873</v>
      </c>
      <c r="BH118" s="598">
        <f>Table35[[#This Row],[Premises Costs]]/Table35[[#This Row],[Number of pupils (FTE)]]</f>
        <v>640.50632911392404</v>
      </c>
      <c r="BI118" s="598">
        <f>Table35[[#This Row],[Maintenance &amp; Improvement Costs]]/Table35[[#This Row],[Number of pupils (FTE)]]</f>
        <v>278.48101265822783</v>
      </c>
      <c r="BJ118" s="598" t="e">
        <f>#REF!/E118</f>
        <v>#REF!</v>
      </c>
      <c r="BK118" s="598">
        <f t="shared" si="11"/>
        <v>22.784810126582279</v>
      </c>
      <c r="BL118" s="598">
        <f t="shared" si="12"/>
        <v>88.607594936708864</v>
      </c>
      <c r="BM118" s="598">
        <f t="shared" si="13"/>
        <v>207.59493670886076</v>
      </c>
      <c r="BN118" s="598">
        <f t="shared" si="14"/>
        <v>356.96202531645571</v>
      </c>
      <c r="BO118" s="598">
        <f t="shared" si="15"/>
        <v>0</v>
      </c>
      <c r="BP118" s="598">
        <f t="shared" si="16"/>
        <v>222.78481012658227</v>
      </c>
      <c r="BQ118" s="598">
        <f t="shared" si="17"/>
        <v>853.16455696202536</v>
      </c>
      <c r="BR118" s="598">
        <f t="shared" si="18"/>
        <v>488.60759493670884</v>
      </c>
      <c r="BS118" s="598">
        <f t="shared" si="19"/>
        <v>141.77215189873417</v>
      </c>
    </row>
    <row r="119" spans="1:71" ht="43.5" hidden="1" x14ac:dyDescent="0.35">
      <c r="A119" s="580">
        <v>925</v>
      </c>
      <c r="B119" s="580" t="s">
        <v>489</v>
      </c>
      <c r="C119" s="593" t="s">
        <v>647</v>
      </c>
      <c r="D119" s="593" t="s">
        <v>648</v>
      </c>
      <c r="E119" s="580">
        <v>1188</v>
      </c>
      <c r="F119" s="580">
        <v>69.099999999999994</v>
      </c>
      <c r="G119" s="580" t="s">
        <v>644</v>
      </c>
      <c r="H119" s="580">
        <v>6.4</v>
      </c>
      <c r="I119" s="580">
        <v>0.4</v>
      </c>
      <c r="J119" s="580">
        <v>10.7</v>
      </c>
      <c r="K119" s="580">
        <v>296</v>
      </c>
      <c r="L119" s="581">
        <v>8247000</v>
      </c>
      <c r="M119" s="581">
        <v>8482000</v>
      </c>
      <c r="N119" s="582">
        <f>Table35[[#This Row],[Total Income]]-Table35[[#This Row],[Total Expenditure]]</f>
        <v>-235000</v>
      </c>
      <c r="O119" s="581">
        <v>71000</v>
      </c>
      <c r="Z119" s="581">
        <v>6628000</v>
      </c>
      <c r="AA119" s="595">
        <f>M119-Z119-Table35[[#This Row],[Maintenance &amp; Improvement]]-Table35[[#This Row],[Cleaning &amp; Caretaking]]-Table35[[#This Row],[Catering Supply]]</f>
        <v>1386000</v>
      </c>
      <c r="AB119" s="581">
        <v>115000</v>
      </c>
      <c r="AC119" s="594">
        <v>115000</v>
      </c>
      <c r="AD119" s="594">
        <v>0</v>
      </c>
      <c r="AE119" s="594">
        <v>0</v>
      </c>
      <c r="AF119" s="594">
        <v>0</v>
      </c>
      <c r="AG119" s="581">
        <v>115000</v>
      </c>
      <c r="AH119" s="581">
        <v>353000</v>
      </c>
      <c r="AI119" s="596">
        <v>0</v>
      </c>
      <c r="AJ119" s="594">
        <v>353000</v>
      </c>
      <c r="AK119" s="594">
        <v>30000</v>
      </c>
      <c r="AL119" s="594">
        <v>43000</v>
      </c>
      <c r="AM119" s="594">
        <v>139000</v>
      </c>
      <c r="AN119" s="594">
        <v>0</v>
      </c>
      <c r="AO119" s="594">
        <v>97000</v>
      </c>
      <c r="AP119" s="581">
        <v>662000</v>
      </c>
      <c r="AQ119" s="594">
        <v>761000</v>
      </c>
      <c r="AR119" s="594">
        <v>14000</v>
      </c>
      <c r="AS119" s="594">
        <v>155000</v>
      </c>
      <c r="AT119" s="594">
        <v>56000</v>
      </c>
      <c r="AU119" s="581">
        <v>1077000</v>
      </c>
      <c r="AV119" s="594">
        <v>761000</v>
      </c>
      <c r="AW119" s="594">
        <v>14000</v>
      </c>
      <c r="AX119" s="594">
        <v>155000</v>
      </c>
      <c r="AY119" s="581">
        <v>930000</v>
      </c>
      <c r="AZ119" s="594">
        <v>0</v>
      </c>
      <c r="BA119" s="594">
        <v>91000</v>
      </c>
      <c r="BB119" s="581">
        <v>91000</v>
      </c>
      <c r="BC119" s="597">
        <f>Table35[[#This Row],[Total Expenditure]]/Table35[[#This Row],[Number of pupils (FTE)]]</f>
        <v>7139.7306397306402</v>
      </c>
      <c r="BD119" s="598">
        <f>Table35[[#This Row],[Total Staff Costs]]/Table35[[#This Row],[Number of pupils (FTE)]]</f>
        <v>5579.1245791245792</v>
      </c>
      <c r="BE119" s="598">
        <f>Table35[[#This Row],[Teaching staff]]/Table35[[#This Row],[Number of teachers in academy (FTE)]]</f>
        <v>0</v>
      </c>
      <c r="BF119" s="599">
        <f>Table35[[#This Row],[Number of pupils (FTE)]]/Table35[[#This Row],[Number of teachers in academy (FTE)]]</f>
        <v>17.19247467438495</v>
      </c>
      <c r="BG119" s="600">
        <f t="shared" si="10"/>
        <v>1166.6666666666667</v>
      </c>
      <c r="BH119" s="598">
        <f>Table35[[#This Row],[Premises Costs]]/Table35[[#This Row],[Number of pupils (FTE)]]</f>
        <v>96.801346801346796</v>
      </c>
      <c r="BI119" s="598">
        <f>Table35[[#This Row],[Maintenance &amp; Improvement Costs]]/Table35[[#This Row],[Number of pupils (FTE)]]</f>
        <v>96.801346801346796</v>
      </c>
      <c r="BJ119" s="598" t="e">
        <f>#REF!/E119</f>
        <v>#REF!</v>
      </c>
      <c r="BK119" s="598">
        <f t="shared" si="11"/>
        <v>25.252525252525253</v>
      </c>
      <c r="BL119" s="598">
        <f t="shared" si="12"/>
        <v>36.195286195286194</v>
      </c>
      <c r="BM119" s="598">
        <f t="shared" si="13"/>
        <v>117.003367003367</v>
      </c>
      <c r="BN119" s="598">
        <f t="shared" si="14"/>
        <v>640.57239057239053</v>
      </c>
      <c r="BO119" s="598">
        <f t="shared" si="15"/>
        <v>11.784511784511784</v>
      </c>
      <c r="BP119" s="598">
        <f t="shared" si="16"/>
        <v>47.138047138047135</v>
      </c>
      <c r="BQ119" s="598">
        <f t="shared" si="17"/>
        <v>906.56565656565658</v>
      </c>
      <c r="BR119" s="598">
        <f t="shared" si="18"/>
        <v>782.82828282828279</v>
      </c>
      <c r="BS119" s="598">
        <f t="shared" si="19"/>
        <v>76.599326599326602</v>
      </c>
    </row>
    <row r="120" spans="1:71" ht="29" hidden="1" x14ac:dyDescent="0.35">
      <c r="A120" s="580">
        <v>925</v>
      </c>
      <c r="B120" s="580" t="s">
        <v>489</v>
      </c>
      <c r="C120" s="593" t="s">
        <v>649</v>
      </c>
      <c r="D120" s="593" t="s">
        <v>650</v>
      </c>
      <c r="E120" s="580">
        <v>772</v>
      </c>
      <c r="F120" s="580">
        <v>42.38</v>
      </c>
      <c r="G120" s="580" t="s">
        <v>644</v>
      </c>
      <c r="H120" s="580">
        <v>7.8</v>
      </c>
      <c r="I120" s="580">
        <v>0.1</v>
      </c>
      <c r="J120" s="580">
        <v>14.2</v>
      </c>
      <c r="K120" s="580">
        <v>126</v>
      </c>
      <c r="L120" s="581">
        <v>5260000</v>
      </c>
      <c r="M120" s="581">
        <v>5212000</v>
      </c>
      <c r="N120" s="582">
        <f>Table35[[#This Row],[Total Income]]-Table35[[#This Row],[Total Expenditure]]</f>
        <v>48000</v>
      </c>
      <c r="O120" s="581">
        <v>508000</v>
      </c>
      <c r="Z120" s="581">
        <v>3857000</v>
      </c>
      <c r="AA120" s="595">
        <f>M120-Z120-Table35[[#This Row],[Maintenance &amp; Improvement]]-Table35[[#This Row],[Cleaning &amp; Caretaking]]-Table35[[#This Row],[Catering Supply]]</f>
        <v>1205000</v>
      </c>
      <c r="AB120" s="581">
        <v>36000</v>
      </c>
      <c r="AC120" s="594">
        <v>36000</v>
      </c>
      <c r="AD120" s="594">
        <v>12000</v>
      </c>
      <c r="AE120" s="594">
        <v>89000</v>
      </c>
      <c r="AF120" s="594">
        <v>0</v>
      </c>
      <c r="AG120" s="581">
        <v>137000</v>
      </c>
      <c r="AH120" s="581">
        <v>241000</v>
      </c>
      <c r="AI120" s="596">
        <v>139000</v>
      </c>
      <c r="AJ120" s="594">
        <v>102000</v>
      </c>
      <c r="AK120" s="594">
        <v>0</v>
      </c>
      <c r="AL120" s="594">
        <v>68000</v>
      </c>
      <c r="AM120" s="594">
        <v>149000</v>
      </c>
      <c r="AN120" s="594">
        <v>18000</v>
      </c>
      <c r="AO120" s="594">
        <v>60000</v>
      </c>
      <c r="AP120" s="581">
        <v>536000</v>
      </c>
      <c r="AQ120" s="594">
        <v>321000</v>
      </c>
      <c r="AR120" s="594">
        <v>0</v>
      </c>
      <c r="AS120" s="594">
        <v>91000</v>
      </c>
      <c r="AT120" s="594">
        <v>197000</v>
      </c>
      <c r="AU120" s="581">
        <v>682000</v>
      </c>
      <c r="AV120" s="594">
        <v>321000</v>
      </c>
      <c r="AW120" s="594">
        <v>0</v>
      </c>
      <c r="AX120" s="594">
        <v>91000</v>
      </c>
      <c r="AY120" s="581">
        <v>412000</v>
      </c>
      <c r="AZ120" s="594">
        <v>39000</v>
      </c>
      <c r="BA120" s="594">
        <v>34000</v>
      </c>
      <c r="BB120" s="581">
        <v>73000</v>
      </c>
      <c r="BC120" s="597">
        <f>Table35[[#This Row],[Total Expenditure]]/Table35[[#This Row],[Number of pupils (FTE)]]</f>
        <v>6751.2953367875643</v>
      </c>
      <c r="BD120" s="598">
        <f>Table35[[#This Row],[Total Staff Costs]]/Table35[[#This Row],[Number of pupils (FTE)]]</f>
        <v>4996.1139896373061</v>
      </c>
      <c r="BE120" s="598">
        <f>Table35[[#This Row],[Teaching staff]]/Table35[[#This Row],[Number of teachers in academy (FTE)]]</f>
        <v>0</v>
      </c>
      <c r="BF120" s="599">
        <f>Table35[[#This Row],[Number of pupils (FTE)]]/Table35[[#This Row],[Number of teachers in academy (FTE)]]</f>
        <v>18.216139688532326</v>
      </c>
      <c r="BG120" s="600">
        <f t="shared" si="10"/>
        <v>1560.8808290155441</v>
      </c>
      <c r="BH120" s="598">
        <f>Table35[[#This Row],[Premises Costs]]/Table35[[#This Row],[Number of pupils (FTE)]]</f>
        <v>177.46113989637306</v>
      </c>
      <c r="BI120" s="598">
        <f>Table35[[#This Row],[Maintenance &amp; Improvement Costs]]/Table35[[#This Row],[Number of pupils (FTE)]]</f>
        <v>46.632124352331608</v>
      </c>
      <c r="BJ120" s="598" t="e">
        <f>#REF!/E120</f>
        <v>#REF!</v>
      </c>
      <c r="BK120" s="598">
        <f t="shared" si="11"/>
        <v>0</v>
      </c>
      <c r="BL120" s="598">
        <f t="shared" si="12"/>
        <v>88.082901554404145</v>
      </c>
      <c r="BM120" s="598">
        <f t="shared" si="13"/>
        <v>193.00518134715026</v>
      </c>
      <c r="BN120" s="598">
        <f t="shared" si="14"/>
        <v>415.80310880829018</v>
      </c>
      <c r="BO120" s="598">
        <f t="shared" si="15"/>
        <v>0</v>
      </c>
      <c r="BP120" s="598">
        <f t="shared" si="16"/>
        <v>255.18134715025906</v>
      </c>
      <c r="BQ120" s="598">
        <f t="shared" si="17"/>
        <v>883.41968911917104</v>
      </c>
      <c r="BR120" s="598">
        <f t="shared" si="18"/>
        <v>533.67875647668393</v>
      </c>
      <c r="BS120" s="598">
        <f t="shared" si="19"/>
        <v>94.559585492227981</v>
      </c>
    </row>
    <row r="121" spans="1:71" hidden="1" x14ac:dyDescent="0.35">
      <c r="A121" s="580">
        <v>925</v>
      </c>
      <c r="B121" s="580" t="s">
        <v>489</v>
      </c>
      <c r="C121" s="593" t="s">
        <v>651</v>
      </c>
      <c r="D121" s="593" t="s">
        <v>652</v>
      </c>
      <c r="E121" s="580">
        <v>369</v>
      </c>
      <c r="F121" s="580">
        <v>15</v>
      </c>
      <c r="G121" s="580" t="s">
        <v>644</v>
      </c>
      <c r="H121" s="580">
        <v>20.9</v>
      </c>
      <c r="I121" s="580">
        <v>2.4</v>
      </c>
      <c r="J121" s="580">
        <v>16.8</v>
      </c>
      <c r="K121" s="580">
        <v>143</v>
      </c>
      <c r="L121" s="581">
        <v>3466000</v>
      </c>
      <c r="M121" s="581">
        <v>3397000</v>
      </c>
      <c r="N121" s="582">
        <f>Table35[[#This Row],[Total Income]]-Table35[[#This Row],[Total Expenditure]]</f>
        <v>69000</v>
      </c>
      <c r="O121" s="581">
        <v>516000</v>
      </c>
      <c r="Z121" s="581">
        <v>2458000</v>
      </c>
      <c r="AA121" s="595">
        <f>M121-Z121-Table35[[#This Row],[Maintenance &amp; Improvement]]-Table35[[#This Row],[Cleaning &amp; Caretaking]]-Table35[[#This Row],[Catering Supply]]</f>
        <v>713000</v>
      </c>
      <c r="AB121" s="581">
        <v>105000</v>
      </c>
      <c r="AC121" s="594">
        <v>105000</v>
      </c>
      <c r="AD121" s="594">
        <v>70000</v>
      </c>
      <c r="AE121" s="594">
        <v>100000</v>
      </c>
      <c r="AF121" s="594">
        <v>0</v>
      </c>
      <c r="AG121" s="581">
        <v>275000</v>
      </c>
      <c r="AH121" s="581">
        <v>51000</v>
      </c>
      <c r="AI121" s="596">
        <v>0</v>
      </c>
      <c r="AJ121" s="594">
        <v>51000</v>
      </c>
      <c r="AK121" s="594">
        <v>4000</v>
      </c>
      <c r="AL121" s="594">
        <v>26000</v>
      </c>
      <c r="AM121" s="594">
        <v>80000</v>
      </c>
      <c r="AN121" s="594">
        <v>9000</v>
      </c>
      <c r="AO121" s="594">
        <v>0</v>
      </c>
      <c r="AP121" s="581">
        <v>170000</v>
      </c>
      <c r="AQ121" s="594">
        <v>232000</v>
      </c>
      <c r="AR121" s="594">
        <v>0</v>
      </c>
      <c r="AS121" s="594">
        <v>0</v>
      </c>
      <c r="AT121" s="594">
        <v>248000</v>
      </c>
      <c r="AU121" s="581">
        <v>494000</v>
      </c>
      <c r="AV121" s="594">
        <v>232000</v>
      </c>
      <c r="AW121" s="594">
        <v>0</v>
      </c>
      <c r="AX121" s="594">
        <v>0</v>
      </c>
      <c r="AY121" s="581">
        <v>232000</v>
      </c>
      <c r="AZ121" s="594">
        <v>0</v>
      </c>
      <c r="BA121" s="594">
        <v>14000</v>
      </c>
      <c r="BB121" s="581">
        <v>14000</v>
      </c>
      <c r="BC121" s="597">
        <f>Table35[[#This Row],[Total Expenditure]]/Table35[[#This Row],[Number of pupils (FTE)]]</f>
        <v>9205.9620596205968</v>
      </c>
      <c r="BD121" s="598">
        <f>Table35[[#This Row],[Total Staff Costs]]/Table35[[#This Row],[Number of pupils (FTE)]]</f>
        <v>6661.246612466125</v>
      </c>
      <c r="BE121" s="598">
        <f>Table35[[#This Row],[Teaching staff]]/Table35[[#This Row],[Number of teachers in academy (FTE)]]</f>
        <v>0</v>
      </c>
      <c r="BF121" s="599">
        <f>Table35[[#This Row],[Number of pupils (FTE)]]/Table35[[#This Row],[Number of teachers in academy (FTE)]]</f>
        <v>24.6</v>
      </c>
      <c r="BG121" s="600">
        <f t="shared" si="10"/>
        <v>1932.249322493225</v>
      </c>
      <c r="BH121" s="598">
        <f>Table35[[#This Row],[Premises Costs]]/Table35[[#This Row],[Number of pupils (FTE)]]</f>
        <v>745.2574525745257</v>
      </c>
      <c r="BI121" s="598">
        <f>Table35[[#This Row],[Maintenance &amp; Improvement Costs]]/Table35[[#This Row],[Number of pupils (FTE)]]</f>
        <v>284.55284552845529</v>
      </c>
      <c r="BJ121" s="598" t="e">
        <f>#REF!/E121</f>
        <v>#REF!</v>
      </c>
      <c r="BK121" s="598">
        <f t="shared" si="11"/>
        <v>10.840108401084011</v>
      </c>
      <c r="BL121" s="598">
        <f t="shared" si="12"/>
        <v>70.460704607046068</v>
      </c>
      <c r="BM121" s="598">
        <f t="shared" si="13"/>
        <v>216.80216802168022</v>
      </c>
      <c r="BN121" s="598">
        <f t="shared" si="14"/>
        <v>628.72628726287257</v>
      </c>
      <c r="BO121" s="598">
        <f t="shared" si="15"/>
        <v>0</v>
      </c>
      <c r="BP121" s="598">
        <f t="shared" si="16"/>
        <v>672.08672086720867</v>
      </c>
      <c r="BQ121" s="598">
        <f t="shared" si="17"/>
        <v>1338.7533875338754</v>
      </c>
      <c r="BR121" s="598">
        <f t="shared" si="18"/>
        <v>628.72628726287257</v>
      </c>
      <c r="BS121" s="598">
        <f t="shared" si="19"/>
        <v>37.94037940379404</v>
      </c>
    </row>
    <row r="122" spans="1:71" hidden="1" x14ac:dyDescent="0.35">
      <c r="A122" s="580">
        <v>925</v>
      </c>
      <c r="B122" s="580" t="s">
        <v>489</v>
      </c>
      <c r="C122" s="593" t="s">
        <v>653</v>
      </c>
      <c r="D122" s="593" t="s">
        <v>506</v>
      </c>
      <c r="E122" s="580">
        <v>1235</v>
      </c>
      <c r="F122" s="580">
        <v>55.73</v>
      </c>
      <c r="G122" s="580" t="s">
        <v>644</v>
      </c>
      <c r="H122" s="580">
        <v>22.8</v>
      </c>
      <c r="I122" s="580">
        <v>1.2</v>
      </c>
      <c r="J122" s="580">
        <v>16.100000000000001</v>
      </c>
      <c r="K122" s="580">
        <v>120</v>
      </c>
      <c r="L122" s="581">
        <v>10127000</v>
      </c>
      <c r="M122" s="581">
        <v>8822000</v>
      </c>
      <c r="N122" s="582">
        <f>Table35[[#This Row],[Total Income]]-Table35[[#This Row],[Total Expenditure]]</f>
        <v>1305000</v>
      </c>
      <c r="O122" s="581">
        <v>0</v>
      </c>
      <c r="Z122" s="581">
        <v>6387000</v>
      </c>
      <c r="AA122" s="595">
        <f>M122-Z122-Table35[[#This Row],[Maintenance &amp; Improvement]]-Table35[[#This Row],[Cleaning &amp; Caretaking]]-Table35[[#This Row],[Catering Supply]]</f>
        <v>1807000</v>
      </c>
      <c r="AB122" s="581">
        <v>187000</v>
      </c>
      <c r="AC122" s="594">
        <v>187000</v>
      </c>
      <c r="AD122" s="594">
        <v>212000</v>
      </c>
      <c r="AE122" s="594">
        <v>144000</v>
      </c>
      <c r="AF122" s="594">
        <v>0</v>
      </c>
      <c r="AG122" s="581">
        <v>543000</v>
      </c>
      <c r="AH122" s="581">
        <v>413000</v>
      </c>
      <c r="AI122" s="596">
        <v>184000</v>
      </c>
      <c r="AJ122" s="594">
        <v>229000</v>
      </c>
      <c r="AK122" s="594">
        <v>23000</v>
      </c>
      <c r="AL122" s="594">
        <v>67000</v>
      </c>
      <c r="AM122" s="594">
        <v>220000</v>
      </c>
      <c r="AN122" s="594">
        <v>31000</v>
      </c>
      <c r="AO122" s="594">
        <v>43000</v>
      </c>
      <c r="AP122" s="581">
        <v>797000</v>
      </c>
      <c r="AQ122" s="594">
        <v>458000</v>
      </c>
      <c r="AR122" s="594">
        <v>0</v>
      </c>
      <c r="AS122" s="594">
        <v>147000</v>
      </c>
      <c r="AT122" s="594">
        <v>350000</v>
      </c>
      <c r="AU122" s="581">
        <v>1095000</v>
      </c>
      <c r="AV122" s="594">
        <v>458000</v>
      </c>
      <c r="AW122" s="594">
        <v>0</v>
      </c>
      <c r="AX122" s="594">
        <v>147000</v>
      </c>
      <c r="AY122" s="581">
        <v>605000</v>
      </c>
      <c r="AZ122" s="594">
        <v>140000</v>
      </c>
      <c r="BA122" s="594">
        <v>0</v>
      </c>
      <c r="BB122" s="581">
        <v>140000</v>
      </c>
      <c r="BC122" s="597">
        <f>Table35[[#This Row],[Total Expenditure]]/Table35[[#This Row],[Number of pupils (FTE)]]</f>
        <v>7143.3198380566801</v>
      </c>
      <c r="BD122" s="598">
        <f>Table35[[#This Row],[Total Staff Costs]]/Table35[[#This Row],[Number of pupils (FTE)]]</f>
        <v>5171.6599190283405</v>
      </c>
      <c r="BE122" s="598">
        <f>Table35[[#This Row],[Teaching staff]]/Table35[[#This Row],[Number of teachers in academy (FTE)]]</f>
        <v>0</v>
      </c>
      <c r="BF122" s="599">
        <f>Table35[[#This Row],[Number of pupils (FTE)]]/Table35[[#This Row],[Number of teachers in academy (FTE)]]</f>
        <v>22.16041629284048</v>
      </c>
      <c r="BG122" s="600">
        <f t="shared" si="10"/>
        <v>1463.1578947368421</v>
      </c>
      <c r="BH122" s="598">
        <f>Table35[[#This Row],[Premises Costs]]/Table35[[#This Row],[Number of pupils (FTE)]]</f>
        <v>439.67611336032388</v>
      </c>
      <c r="BI122" s="598">
        <f>Table35[[#This Row],[Maintenance &amp; Improvement Costs]]/Table35[[#This Row],[Number of pupils (FTE)]]</f>
        <v>151.41700404858301</v>
      </c>
      <c r="BJ122" s="598" t="e">
        <f>#REF!/E122</f>
        <v>#REF!</v>
      </c>
      <c r="BK122" s="598">
        <f t="shared" si="11"/>
        <v>18.623481781376519</v>
      </c>
      <c r="BL122" s="598">
        <f t="shared" si="12"/>
        <v>54.251012145748987</v>
      </c>
      <c r="BM122" s="598">
        <f t="shared" si="13"/>
        <v>178.13765182186233</v>
      </c>
      <c r="BN122" s="598">
        <f t="shared" si="14"/>
        <v>370.85020242914982</v>
      </c>
      <c r="BO122" s="598">
        <f t="shared" si="15"/>
        <v>0</v>
      </c>
      <c r="BP122" s="598">
        <f t="shared" si="16"/>
        <v>283.40080971659921</v>
      </c>
      <c r="BQ122" s="598">
        <f t="shared" si="17"/>
        <v>886.63967611336034</v>
      </c>
      <c r="BR122" s="598">
        <f t="shared" si="18"/>
        <v>489.87854251012146</v>
      </c>
      <c r="BS122" s="598">
        <f t="shared" si="19"/>
        <v>113.36032388663968</v>
      </c>
    </row>
    <row r="123" spans="1:71" ht="29" hidden="1" x14ac:dyDescent="0.35">
      <c r="A123" s="580">
        <v>925</v>
      </c>
      <c r="B123" s="580" t="s">
        <v>489</v>
      </c>
      <c r="C123" s="593" t="s">
        <v>654</v>
      </c>
      <c r="D123" s="593" t="s">
        <v>528</v>
      </c>
      <c r="E123" s="580">
        <v>552</v>
      </c>
      <c r="F123" s="580">
        <v>26.97</v>
      </c>
      <c r="G123" s="580" t="s">
        <v>644</v>
      </c>
      <c r="H123" s="580">
        <v>36.799999999999997</v>
      </c>
      <c r="I123" s="580">
        <v>6.3</v>
      </c>
      <c r="J123" s="580">
        <v>21.4</v>
      </c>
      <c r="K123" s="580">
        <v>0</v>
      </c>
      <c r="L123" s="581">
        <v>4439000</v>
      </c>
      <c r="M123" s="581">
        <v>3681000</v>
      </c>
      <c r="N123" s="582">
        <f>Table35[[#This Row],[Total Income]]-Table35[[#This Row],[Total Expenditure]]</f>
        <v>758000</v>
      </c>
      <c r="O123" s="581">
        <v>758000</v>
      </c>
      <c r="Z123" s="581">
        <v>2990000</v>
      </c>
      <c r="AA123" s="595">
        <f>M123-Z123-Table35[[#This Row],[Maintenance &amp; Improvement]]-Table35[[#This Row],[Cleaning &amp; Caretaking]]-Table35[[#This Row],[Catering Supply]]</f>
        <v>492000</v>
      </c>
      <c r="AB123" s="581">
        <v>55000</v>
      </c>
      <c r="AC123" s="594">
        <v>55000</v>
      </c>
      <c r="AD123" s="594">
        <v>79000</v>
      </c>
      <c r="AE123" s="594">
        <v>64000</v>
      </c>
      <c r="AF123" s="594">
        <v>0</v>
      </c>
      <c r="AG123" s="581">
        <v>198000</v>
      </c>
      <c r="AH123" s="581">
        <v>65000</v>
      </c>
      <c r="AI123" s="596">
        <v>0</v>
      </c>
      <c r="AJ123" s="594">
        <v>65000</v>
      </c>
      <c r="AK123" s="594">
        <v>2000</v>
      </c>
      <c r="AL123" s="594">
        <v>20000</v>
      </c>
      <c r="AM123" s="594">
        <v>58000</v>
      </c>
      <c r="AN123" s="594">
        <v>14000</v>
      </c>
      <c r="AO123" s="594">
        <v>8000</v>
      </c>
      <c r="AP123" s="581">
        <v>167000</v>
      </c>
      <c r="AQ123" s="594">
        <v>129000</v>
      </c>
      <c r="AR123" s="594">
        <v>1000</v>
      </c>
      <c r="AS123" s="594">
        <v>47000</v>
      </c>
      <c r="AT123" s="594">
        <v>90000</v>
      </c>
      <c r="AU123" s="581">
        <v>326000</v>
      </c>
      <c r="AV123" s="594">
        <v>129000</v>
      </c>
      <c r="AW123" s="594">
        <v>1000</v>
      </c>
      <c r="AX123" s="594">
        <v>47000</v>
      </c>
      <c r="AY123" s="581">
        <v>177000</v>
      </c>
      <c r="AZ123" s="594">
        <v>51000</v>
      </c>
      <c r="BA123" s="594">
        <v>8000</v>
      </c>
      <c r="BB123" s="581">
        <v>59000</v>
      </c>
      <c r="BC123" s="597">
        <f>Table35[[#This Row],[Total Expenditure]]/Table35[[#This Row],[Number of pupils (FTE)]]</f>
        <v>6668.478260869565</v>
      </c>
      <c r="BD123" s="598">
        <f>Table35[[#This Row],[Total Staff Costs]]/Table35[[#This Row],[Number of pupils (FTE)]]</f>
        <v>5416.666666666667</v>
      </c>
      <c r="BE123" s="598">
        <f>Table35[[#This Row],[Teaching staff]]/Table35[[#This Row],[Number of teachers in academy (FTE)]]</f>
        <v>0</v>
      </c>
      <c r="BF123" s="599">
        <f>Table35[[#This Row],[Number of pupils (FTE)]]/Table35[[#This Row],[Number of teachers in academy (FTE)]]</f>
        <v>20.467185761957733</v>
      </c>
      <c r="BG123" s="600">
        <f t="shared" si="10"/>
        <v>891.304347826087</v>
      </c>
      <c r="BH123" s="598">
        <f>Table35[[#This Row],[Premises Costs]]/Table35[[#This Row],[Number of pupils (FTE)]]</f>
        <v>358.69565217391306</v>
      </c>
      <c r="BI123" s="598">
        <f>Table35[[#This Row],[Maintenance &amp; Improvement Costs]]/Table35[[#This Row],[Number of pupils (FTE)]]</f>
        <v>99.637681159420296</v>
      </c>
      <c r="BJ123" s="598" t="e">
        <f>#REF!/E123</f>
        <v>#REF!</v>
      </c>
      <c r="BK123" s="598">
        <f t="shared" si="11"/>
        <v>3.6231884057971016</v>
      </c>
      <c r="BL123" s="598">
        <f t="shared" si="12"/>
        <v>36.231884057971016</v>
      </c>
      <c r="BM123" s="598">
        <f t="shared" si="13"/>
        <v>105.07246376811594</v>
      </c>
      <c r="BN123" s="598">
        <f t="shared" si="14"/>
        <v>233.69565217391303</v>
      </c>
      <c r="BO123" s="598">
        <f t="shared" si="15"/>
        <v>1.8115942028985508</v>
      </c>
      <c r="BP123" s="598">
        <f t="shared" si="16"/>
        <v>163.04347826086956</v>
      </c>
      <c r="BQ123" s="598">
        <f t="shared" si="17"/>
        <v>590.5797101449275</v>
      </c>
      <c r="BR123" s="598">
        <f t="shared" si="18"/>
        <v>320.6521739130435</v>
      </c>
      <c r="BS123" s="598">
        <f t="shared" si="19"/>
        <v>106.8840579710145</v>
      </c>
    </row>
    <row r="124" spans="1:71" ht="29" hidden="1" x14ac:dyDescent="0.35">
      <c r="A124" s="580">
        <v>925</v>
      </c>
      <c r="B124" s="580" t="s">
        <v>489</v>
      </c>
      <c r="C124" s="593" t="s">
        <v>655</v>
      </c>
      <c r="D124" s="593" t="s">
        <v>528</v>
      </c>
      <c r="E124" s="580">
        <v>588</v>
      </c>
      <c r="F124" s="580">
        <v>29.8</v>
      </c>
      <c r="G124" s="580" t="s">
        <v>644</v>
      </c>
      <c r="H124" s="580">
        <v>36.6</v>
      </c>
      <c r="I124" s="580">
        <v>2.5</v>
      </c>
      <c r="J124" s="580">
        <v>17.7</v>
      </c>
      <c r="K124" s="580">
        <v>0</v>
      </c>
      <c r="L124" s="581">
        <v>4922000</v>
      </c>
      <c r="M124" s="581">
        <v>4194000</v>
      </c>
      <c r="N124" s="582">
        <f>Table35[[#This Row],[Total Income]]-Table35[[#This Row],[Total Expenditure]]</f>
        <v>728000</v>
      </c>
      <c r="O124" s="581">
        <v>729000</v>
      </c>
      <c r="Z124" s="581">
        <v>3380000</v>
      </c>
      <c r="AA124" s="595">
        <f>M124-Z124-Table35[[#This Row],[Maintenance &amp; Improvement]]-Table35[[#This Row],[Cleaning &amp; Caretaking]]-Table35[[#This Row],[Catering Supply]]</f>
        <v>589000</v>
      </c>
      <c r="AB124" s="581">
        <v>75000</v>
      </c>
      <c r="AC124" s="594">
        <v>75000</v>
      </c>
      <c r="AD124" s="594">
        <v>73000</v>
      </c>
      <c r="AE124" s="594">
        <v>101000</v>
      </c>
      <c r="AF124" s="594">
        <v>0</v>
      </c>
      <c r="AG124" s="581">
        <v>249000</v>
      </c>
      <c r="AH124" s="581">
        <v>77000</v>
      </c>
      <c r="AI124" s="596">
        <v>0</v>
      </c>
      <c r="AJ124" s="594">
        <v>77000</v>
      </c>
      <c r="AK124" s="594">
        <v>5000</v>
      </c>
      <c r="AL124" s="594">
        <v>49000</v>
      </c>
      <c r="AM124" s="594">
        <v>95000</v>
      </c>
      <c r="AN124" s="594">
        <v>15000</v>
      </c>
      <c r="AO124" s="594">
        <v>13000</v>
      </c>
      <c r="AP124" s="581">
        <v>254000</v>
      </c>
      <c r="AQ124" s="594">
        <v>129000</v>
      </c>
      <c r="AR124" s="594">
        <v>1000</v>
      </c>
      <c r="AS124" s="594">
        <v>52000</v>
      </c>
      <c r="AT124" s="594">
        <v>97000</v>
      </c>
      <c r="AU124" s="581">
        <v>311000</v>
      </c>
      <c r="AV124" s="594">
        <v>129000</v>
      </c>
      <c r="AW124" s="594">
        <v>1000</v>
      </c>
      <c r="AX124" s="594">
        <v>52000</v>
      </c>
      <c r="AY124" s="581">
        <v>182000</v>
      </c>
      <c r="AZ124" s="594">
        <v>21000</v>
      </c>
      <c r="BA124" s="594">
        <v>11000</v>
      </c>
      <c r="BB124" s="581">
        <v>32000</v>
      </c>
      <c r="BC124" s="597">
        <f>Table35[[#This Row],[Total Expenditure]]/Table35[[#This Row],[Number of pupils (FTE)]]</f>
        <v>7132.6530612244896</v>
      </c>
      <c r="BD124" s="598">
        <f>Table35[[#This Row],[Total Staff Costs]]/Table35[[#This Row],[Number of pupils (FTE)]]</f>
        <v>5748.2993197278911</v>
      </c>
      <c r="BE124" s="598">
        <f>Table35[[#This Row],[Teaching staff]]/Table35[[#This Row],[Number of teachers in academy (FTE)]]</f>
        <v>0</v>
      </c>
      <c r="BF124" s="599">
        <f>Table35[[#This Row],[Number of pupils (FTE)]]/Table35[[#This Row],[Number of teachers in academy (FTE)]]</f>
        <v>19.731543624161073</v>
      </c>
      <c r="BG124" s="600">
        <f t="shared" si="10"/>
        <v>1001.7006802721088</v>
      </c>
      <c r="BH124" s="598">
        <f>Table35[[#This Row],[Premises Costs]]/Table35[[#This Row],[Number of pupils (FTE)]]</f>
        <v>423.46938775510205</v>
      </c>
      <c r="BI124" s="598">
        <f>Table35[[#This Row],[Maintenance &amp; Improvement Costs]]/Table35[[#This Row],[Number of pupils (FTE)]]</f>
        <v>127.55102040816327</v>
      </c>
      <c r="BJ124" s="598" t="e">
        <f>#REF!/E124</f>
        <v>#REF!</v>
      </c>
      <c r="BK124" s="598">
        <f t="shared" si="11"/>
        <v>8.5034013605442169</v>
      </c>
      <c r="BL124" s="598">
        <f t="shared" si="12"/>
        <v>83.333333333333329</v>
      </c>
      <c r="BM124" s="598">
        <f t="shared" si="13"/>
        <v>161.56462585034015</v>
      </c>
      <c r="BN124" s="598">
        <f t="shared" si="14"/>
        <v>219.38775510204081</v>
      </c>
      <c r="BO124" s="598">
        <f t="shared" si="15"/>
        <v>1.7006802721088434</v>
      </c>
      <c r="BP124" s="598">
        <f t="shared" si="16"/>
        <v>164.96598639455783</v>
      </c>
      <c r="BQ124" s="598">
        <f t="shared" si="17"/>
        <v>528.91156462585036</v>
      </c>
      <c r="BR124" s="598">
        <f t="shared" si="18"/>
        <v>309.52380952380952</v>
      </c>
      <c r="BS124" s="598">
        <f t="shared" si="19"/>
        <v>54.42176870748299</v>
      </c>
    </row>
    <row r="125" spans="1:71" ht="29" hidden="1" x14ac:dyDescent="0.35">
      <c r="A125" s="580">
        <v>925</v>
      </c>
      <c r="B125" s="580" t="s">
        <v>489</v>
      </c>
      <c r="C125" s="593" t="s">
        <v>656</v>
      </c>
      <c r="D125" s="593" t="s">
        <v>528</v>
      </c>
      <c r="E125" s="580">
        <v>276</v>
      </c>
      <c r="F125" s="580">
        <v>20.6</v>
      </c>
      <c r="G125" s="580" t="s">
        <v>644</v>
      </c>
      <c r="H125" s="580">
        <v>41.7</v>
      </c>
      <c r="I125" s="580">
        <v>8.6999999999999993</v>
      </c>
      <c r="J125" s="580">
        <v>41.7</v>
      </c>
      <c r="K125" s="580">
        <v>0</v>
      </c>
      <c r="L125" s="581">
        <v>2540000</v>
      </c>
      <c r="M125" s="581">
        <v>2814000</v>
      </c>
      <c r="N125" s="582">
        <f>Table35[[#This Row],[Total Income]]-Table35[[#This Row],[Total Expenditure]]</f>
        <v>-274000</v>
      </c>
      <c r="O125" s="581">
        <v>-274000</v>
      </c>
      <c r="Z125" s="581">
        <v>2121000</v>
      </c>
      <c r="AA125" s="595">
        <f>M125-Z125-Table35[[#This Row],[Maintenance &amp; Improvement]]-Table35[[#This Row],[Cleaning &amp; Caretaking]]-Table35[[#This Row],[Catering Supply]]</f>
        <v>532000</v>
      </c>
      <c r="AB125" s="581">
        <v>84000</v>
      </c>
      <c r="AC125" s="594">
        <v>84000</v>
      </c>
      <c r="AD125" s="594">
        <v>35000</v>
      </c>
      <c r="AE125" s="594">
        <v>108000</v>
      </c>
      <c r="AF125" s="594">
        <v>0</v>
      </c>
      <c r="AG125" s="581">
        <v>227000</v>
      </c>
      <c r="AH125" s="581">
        <v>42000</v>
      </c>
      <c r="AI125" s="596">
        <v>0</v>
      </c>
      <c r="AJ125" s="594">
        <v>42000</v>
      </c>
      <c r="AK125" s="594">
        <v>7000</v>
      </c>
      <c r="AL125" s="594">
        <v>11000</v>
      </c>
      <c r="AM125" s="594">
        <v>58000</v>
      </c>
      <c r="AN125" s="594">
        <v>7000</v>
      </c>
      <c r="AO125" s="594">
        <v>14000</v>
      </c>
      <c r="AP125" s="581">
        <v>139000</v>
      </c>
      <c r="AQ125" s="594">
        <v>59000</v>
      </c>
      <c r="AR125" s="594">
        <v>2000</v>
      </c>
      <c r="AS125" s="594">
        <v>31000</v>
      </c>
      <c r="AT125" s="594">
        <v>41000</v>
      </c>
      <c r="AU125" s="581">
        <v>145000</v>
      </c>
      <c r="AV125" s="594">
        <v>59000</v>
      </c>
      <c r="AW125" s="594">
        <v>2000</v>
      </c>
      <c r="AX125" s="594">
        <v>31000</v>
      </c>
      <c r="AY125" s="581">
        <v>92000</v>
      </c>
      <c r="AZ125" s="594">
        <v>6000</v>
      </c>
      <c r="BA125" s="594">
        <v>6000</v>
      </c>
      <c r="BB125" s="581">
        <v>12000</v>
      </c>
      <c r="BC125" s="597">
        <f>Table35[[#This Row],[Total Expenditure]]/Table35[[#This Row],[Number of pupils (FTE)]]</f>
        <v>10195.652173913044</v>
      </c>
      <c r="BD125" s="598">
        <f>Table35[[#This Row],[Total Staff Costs]]/Table35[[#This Row],[Number of pupils (FTE)]]</f>
        <v>7684.782608695652</v>
      </c>
      <c r="BE125" s="598">
        <f>Table35[[#This Row],[Teaching staff]]/Table35[[#This Row],[Number of teachers in academy (FTE)]]</f>
        <v>0</v>
      </c>
      <c r="BF125" s="599">
        <f>Table35[[#This Row],[Number of pupils (FTE)]]/Table35[[#This Row],[Number of teachers in academy (FTE)]]</f>
        <v>13.398058252427184</v>
      </c>
      <c r="BG125" s="600">
        <f t="shared" si="10"/>
        <v>1927.536231884058</v>
      </c>
      <c r="BH125" s="598">
        <f>Table35[[#This Row],[Premises Costs]]/Table35[[#This Row],[Number of pupils (FTE)]]</f>
        <v>822.463768115942</v>
      </c>
      <c r="BI125" s="598">
        <f>Table35[[#This Row],[Maintenance &amp; Improvement Costs]]/Table35[[#This Row],[Number of pupils (FTE)]]</f>
        <v>304.3478260869565</v>
      </c>
      <c r="BJ125" s="598" t="e">
        <f>#REF!/E125</f>
        <v>#REF!</v>
      </c>
      <c r="BK125" s="598">
        <f t="shared" si="11"/>
        <v>25.362318840579711</v>
      </c>
      <c r="BL125" s="598">
        <f t="shared" si="12"/>
        <v>39.855072463768117</v>
      </c>
      <c r="BM125" s="598">
        <f t="shared" si="13"/>
        <v>210.14492753623188</v>
      </c>
      <c r="BN125" s="598">
        <f t="shared" si="14"/>
        <v>213.768115942029</v>
      </c>
      <c r="BO125" s="598">
        <f t="shared" si="15"/>
        <v>7.2463768115942031</v>
      </c>
      <c r="BP125" s="598">
        <f t="shared" si="16"/>
        <v>148.55072463768116</v>
      </c>
      <c r="BQ125" s="598">
        <f t="shared" si="17"/>
        <v>525.36231884057975</v>
      </c>
      <c r="BR125" s="598">
        <f t="shared" si="18"/>
        <v>333.33333333333331</v>
      </c>
      <c r="BS125" s="598">
        <f t="shared" si="19"/>
        <v>43.478260869565219</v>
      </c>
    </row>
    <row r="126" spans="1:71" ht="29" hidden="1" x14ac:dyDescent="0.35">
      <c r="A126" s="580">
        <v>925</v>
      </c>
      <c r="B126" s="580" t="s">
        <v>489</v>
      </c>
      <c r="C126" s="593" t="s">
        <v>657</v>
      </c>
      <c r="D126" s="593" t="s">
        <v>532</v>
      </c>
      <c r="E126" s="580">
        <v>456</v>
      </c>
      <c r="F126" s="580">
        <v>32</v>
      </c>
      <c r="G126" s="580" t="s">
        <v>644</v>
      </c>
      <c r="H126" s="580">
        <v>39.700000000000003</v>
      </c>
      <c r="I126" s="580">
        <v>4</v>
      </c>
      <c r="J126" s="580">
        <v>20.399999999999999</v>
      </c>
      <c r="K126" s="580">
        <v>0</v>
      </c>
      <c r="L126" s="581">
        <v>3938000</v>
      </c>
      <c r="M126" s="581">
        <v>3567000</v>
      </c>
      <c r="N126" s="582">
        <f>Table35[[#This Row],[Total Income]]-Table35[[#This Row],[Total Expenditure]]</f>
        <v>371000</v>
      </c>
      <c r="O126" s="581">
        <v>435000</v>
      </c>
      <c r="Z126" s="581">
        <v>2759000</v>
      </c>
      <c r="AA126" s="595">
        <f>M126-Z126-Table35[[#This Row],[Maintenance &amp; Improvement]]-Table35[[#This Row],[Cleaning &amp; Caretaking]]-Table35[[#This Row],[Catering Supply]]</f>
        <v>568000</v>
      </c>
      <c r="AB126" s="581">
        <v>53000</v>
      </c>
      <c r="AC126" s="594">
        <v>53000</v>
      </c>
      <c r="AD126" s="594">
        <v>4000</v>
      </c>
      <c r="AE126" s="594">
        <v>140000</v>
      </c>
      <c r="AF126" s="594">
        <v>0</v>
      </c>
      <c r="AG126" s="581">
        <v>197000</v>
      </c>
      <c r="AH126" s="581">
        <v>183000</v>
      </c>
      <c r="AI126" s="596">
        <v>0</v>
      </c>
      <c r="AJ126" s="594">
        <v>183000</v>
      </c>
      <c r="AK126" s="594">
        <v>3000</v>
      </c>
      <c r="AL126" s="594">
        <v>15000</v>
      </c>
      <c r="AM126" s="594">
        <v>47000</v>
      </c>
      <c r="AN126" s="594">
        <v>0</v>
      </c>
      <c r="AO126" s="594">
        <v>10000</v>
      </c>
      <c r="AP126" s="581">
        <v>258000</v>
      </c>
      <c r="AQ126" s="594">
        <v>105000</v>
      </c>
      <c r="AR126" s="594">
        <v>31000</v>
      </c>
      <c r="AS126" s="594">
        <v>49000</v>
      </c>
      <c r="AT126" s="594">
        <v>24000</v>
      </c>
      <c r="AU126" s="581">
        <v>255000</v>
      </c>
      <c r="AV126" s="594">
        <v>105000</v>
      </c>
      <c r="AW126" s="594">
        <v>31000</v>
      </c>
      <c r="AX126" s="594">
        <v>49000</v>
      </c>
      <c r="AY126" s="581">
        <v>185000</v>
      </c>
      <c r="AZ126" s="594">
        <v>8000</v>
      </c>
      <c r="BA126" s="594">
        <v>38000</v>
      </c>
      <c r="BB126" s="581">
        <v>46000</v>
      </c>
      <c r="BC126" s="597">
        <f>Table35[[#This Row],[Total Expenditure]]/Table35[[#This Row],[Number of pupils (FTE)]]</f>
        <v>7822.3684210526317</v>
      </c>
      <c r="BD126" s="598">
        <f>Table35[[#This Row],[Total Staff Costs]]/Table35[[#This Row],[Number of pupils (FTE)]]</f>
        <v>6050.4385964912281</v>
      </c>
      <c r="BE126" s="598">
        <f>Table35[[#This Row],[Teaching staff]]/Table35[[#This Row],[Number of teachers in academy (FTE)]]</f>
        <v>0</v>
      </c>
      <c r="BF126" s="599">
        <f>Table35[[#This Row],[Number of pupils (FTE)]]/Table35[[#This Row],[Number of teachers in academy (FTE)]]</f>
        <v>14.25</v>
      </c>
      <c r="BG126" s="600">
        <f t="shared" si="10"/>
        <v>1245.6140350877192</v>
      </c>
      <c r="BH126" s="598">
        <f>Table35[[#This Row],[Premises Costs]]/Table35[[#This Row],[Number of pupils (FTE)]]</f>
        <v>432.01754385964909</v>
      </c>
      <c r="BI126" s="598">
        <f>Table35[[#This Row],[Maintenance &amp; Improvement Costs]]/Table35[[#This Row],[Number of pupils (FTE)]]</f>
        <v>116.2280701754386</v>
      </c>
      <c r="BJ126" s="598" t="e">
        <f>#REF!/E126</f>
        <v>#REF!</v>
      </c>
      <c r="BK126" s="598">
        <f t="shared" si="11"/>
        <v>6.5789473684210522</v>
      </c>
      <c r="BL126" s="598">
        <f t="shared" si="12"/>
        <v>32.89473684210526</v>
      </c>
      <c r="BM126" s="598">
        <f t="shared" si="13"/>
        <v>103.07017543859649</v>
      </c>
      <c r="BN126" s="598">
        <f t="shared" si="14"/>
        <v>230.26315789473685</v>
      </c>
      <c r="BO126" s="598">
        <f t="shared" si="15"/>
        <v>67.982456140350877</v>
      </c>
      <c r="BP126" s="598">
        <f t="shared" si="16"/>
        <v>52.631578947368418</v>
      </c>
      <c r="BQ126" s="598">
        <f t="shared" si="17"/>
        <v>559.21052631578948</v>
      </c>
      <c r="BR126" s="598">
        <f t="shared" si="18"/>
        <v>405.70175438596493</v>
      </c>
      <c r="BS126" s="598">
        <f t="shared" si="19"/>
        <v>100.87719298245614</v>
      </c>
    </row>
    <row r="127" spans="1:71" ht="29" hidden="1" x14ac:dyDescent="0.35">
      <c r="A127" s="580">
        <v>925</v>
      </c>
      <c r="B127" s="580" t="s">
        <v>489</v>
      </c>
      <c r="C127" s="593" t="s">
        <v>658</v>
      </c>
      <c r="D127" s="593" t="s">
        <v>659</v>
      </c>
      <c r="E127" s="580">
        <v>997</v>
      </c>
      <c r="F127" s="580">
        <v>62.82</v>
      </c>
      <c r="G127" s="580" t="s">
        <v>644</v>
      </c>
      <c r="H127" s="580">
        <v>33.6</v>
      </c>
      <c r="I127" s="580">
        <v>2.9</v>
      </c>
      <c r="J127" s="580">
        <v>15.8</v>
      </c>
      <c r="K127" s="580">
        <v>117</v>
      </c>
      <c r="L127" s="581">
        <v>7268000</v>
      </c>
      <c r="M127" s="581">
        <v>7426000</v>
      </c>
      <c r="N127" s="582">
        <f>Table35[[#This Row],[Total Income]]-Table35[[#This Row],[Total Expenditure]]</f>
        <v>-158000</v>
      </c>
      <c r="O127" s="581">
        <v>0</v>
      </c>
      <c r="Z127" s="581">
        <v>5915000</v>
      </c>
      <c r="AA127" s="595">
        <f>M127-Z127-Table35[[#This Row],[Maintenance &amp; Improvement]]-Table35[[#This Row],[Cleaning &amp; Caretaking]]-Table35[[#This Row],[Catering Supply]]</f>
        <v>1050000</v>
      </c>
      <c r="AB127" s="581">
        <v>352000</v>
      </c>
      <c r="AC127" s="594">
        <v>352000</v>
      </c>
      <c r="AD127" s="594">
        <v>0</v>
      </c>
      <c r="AE127" s="594">
        <v>172000</v>
      </c>
      <c r="AF127" s="594">
        <v>0</v>
      </c>
      <c r="AG127" s="581">
        <v>524000</v>
      </c>
      <c r="AH127" s="581">
        <v>255000</v>
      </c>
      <c r="AI127" s="596">
        <v>146000</v>
      </c>
      <c r="AJ127" s="594">
        <v>109000</v>
      </c>
      <c r="AK127" s="594">
        <v>19000</v>
      </c>
      <c r="AL127" s="594">
        <v>0</v>
      </c>
      <c r="AM127" s="594">
        <v>0</v>
      </c>
      <c r="AN127" s="594">
        <v>27000</v>
      </c>
      <c r="AO127" s="594">
        <v>203000</v>
      </c>
      <c r="AP127" s="581">
        <v>504000</v>
      </c>
      <c r="AQ127" s="594">
        <v>177000</v>
      </c>
      <c r="AR127" s="594">
        <v>0</v>
      </c>
      <c r="AS127" s="594">
        <v>108000</v>
      </c>
      <c r="AT127" s="594">
        <v>101000</v>
      </c>
      <c r="AU127" s="581">
        <v>483000</v>
      </c>
      <c r="AV127" s="594">
        <v>177000</v>
      </c>
      <c r="AW127" s="594">
        <v>0</v>
      </c>
      <c r="AX127" s="594">
        <v>108000</v>
      </c>
      <c r="AY127" s="581">
        <v>285000</v>
      </c>
      <c r="AZ127" s="594">
        <v>88000</v>
      </c>
      <c r="BA127" s="594">
        <v>9000</v>
      </c>
      <c r="BB127" s="581">
        <v>97000</v>
      </c>
      <c r="BC127" s="597">
        <f>Table35[[#This Row],[Total Expenditure]]/Table35[[#This Row],[Number of pupils (FTE)]]</f>
        <v>7448.3450351053161</v>
      </c>
      <c r="BD127" s="598">
        <f>Table35[[#This Row],[Total Staff Costs]]/Table35[[#This Row],[Number of pupils (FTE)]]</f>
        <v>5932.7983951855567</v>
      </c>
      <c r="BE127" s="598">
        <f>Table35[[#This Row],[Teaching staff]]/Table35[[#This Row],[Number of teachers in academy (FTE)]]</f>
        <v>0</v>
      </c>
      <c r="BF127" s="599">
        <f>Table35[[#This Row],[Number of pupils (FTE)]]/Table35[[#This Row],[Number of teachers in academy (FTE)]]</f>
        <v>15.870741801973894</v>
      </c>
      <c r="BG127" s="600">
        <f t="shared" si="10"/>
        <v>1053.159478435306</v>
      </c>
      <c r="BH127" s="598">
        <f>Table35[[#This Row],[Premises Costs]]/Table35[[#This Row],[Number of pupils (FTE)]]</f>
        <v>525.57673019057177</v>
      </c>
      <c r="BI127" s="598">
        <f>Table35[[#This Row],[Maintenance &amp; Improvement Costs]]/Table35[[#This Row],[Number of pupils (FTE)]]</f>
        <v>353.0591775325978</v>
      </c>
      <c r="BJ127" s="598" t="e">
        <f>#REF!/E127</f>
        <v>#REF!</v>
      </c>
      <c r="BK127" s="598">
        <f t="shared" si="11"/>
        <v>19.057171514543629</v>
      </c>
      <c r="BL127" s="598">
        <f t="shared" si="12"/>
        <v>0</v>
      </c>
      <c r="BM127" s="598">
        <f t="shared" si="13"/>
        <v>0</v>
      </c>
      <c r="BN127" s="598">
        <f t="shared" si="14"/>
        <v>177.53259779338015</v>
      </c>
      <c r="BO127" s="598">
        <f t="shared" si="15"/>
        <v>0</v>
      </c>
      <c r="BP127" s="598">
        <f t="shared" si="16"/>
        <v>101.30391173520562</v>
      </c>
      <c r="BQ127" s="598">
        <f t="shared" si="17"/>
        <v>484.45336008024071</v>
      </c>
      <c r="BR127" s="598">
        <f t="shared" si="18"/>
        <v>285.85757271815447</v>
      </c>
      <c r="BS127" s="598">
        <f t="shared" si="19"/>
        <v>97.291875626880639</v>
      </c>
    </row>
    <row r="128" spans="1:71" hidden="1" x14ac:dyDescent="0.35">
      <c r="A128" s="580">
        <v>925</v>
      </c>
      <c r="B128" s="580" t="s">
        <v>489</v>
      </c>
      <c r="C128" s="593" t="s">
        <v>660</v>
      </c>
      <c r="D128" s="593" t="s">
        <v>661</v>
      </c>
      <c r="E128" s="580">
        <v>818</v>
      </c>
      <c r="F128" s="580">
        <v>44.73</v>
      </c>
      <c r="G128" s="580" t="s">
        <v>644</v>
      </c>
      <c r="H128" s="580">
        <v>11.9</v>
      </c>
      <c r="I128" s="580">
        <v>0.4</v>
      </c>
      <c r="J128" s="580">
        <v>5.4</v>
      </c>
      <c r="K128" s="580">
        <v>236</v>
      </c>
      <c r="L128" s="581">
        <v>4810000</v>
      </c>
      <c r="M128" s="581">
        <v>5359000</v>
      </c>
      <c r="N128" s="582">
        <f>Table35[[#This Row],[Total Income]]-Table35[[#This Row],[Total Expenditure]]</f>
        <v>-549000</v>
      </c>
      <c r="O128" s="581">
        <v>1124000</v>
      </c>
      <c r="Z128" s="581">
        <v>4203000</v>
      </c>
      <c r="AA128" s="595">
        <f>M128-Z128-Table35[[#This Row],[Maintenance &amp; Improvement]]-Table35[[#This Row],[Cleaning &amp; Caretaking]]-Table35[[#This Row],[Catering Supply]]</f>
        <v>909000</v>
      </c>
      <c r="AB128" s="581">
        <v>87000</v>
      </c>
      <c r="AC128" s="594">
        <v>87000</v>
      </c>
      <c r="AD128" s="594">
        <v>35000</v>
      </c>
      <c r="AE128" s="594">
        <v>104000</v>
      </c>
      <c r="AF128" s="594">
        <v>0</v>
      </c>
      <c r="AG128" s="581">
        <v>226000</v>
      </c>
      <c r="AH128" s="581">
        <v>254000</v>
      </c>
      <c r="AI128" s="596">
        <v>129000</v>
      </c>
      <c r="AJ128" s="594">
        <v>125000</v>
      </c>
      <c r="AK128" s="594">
        <v>11000</v>
      </c>
      <c r="AL128" s="594">
        <v>29000</v>
      </c>
      <c r="AM128" s="594">
        <v>93000</v>
      </c>
      <c r="AN128" s="594">
        <v>22000</v>
      </c>
      <c r="AO128" s="594">
        <v>40000</v>
      </c>
      <c r="AP128" s="581">
        <v>449000</v>
      </c>
      <c r="AQ128" s="594">
        <v>186000</v>
      </c>
      <c r="AR128" s="594">
        <v>37000</v>
      </c>
      <c r="AS128" s="594">
        <v>120000</v>
      </c>
      <c r="AT128" s="594">
        <v>88000</v>
      </c>
      <c r="AU128" s="581">
        <v>481000</v>
      </c>
      <c r="AV128" s="594">
        <v>186000</v>
      </c>
      <c r="AW128" s="594">
        <v>37000</v>
      </c>
      <c r="AX128" s="594">
        <v>120000</v>
      </c>
      <c r="AY128" s="581">
        <v>343000</v>
      </c>
      <c r="AZ128" s="594">
        <v>6000</v>
      </c>
      <c r="BA128" s="594">
        <v>44000</v>
      </c>
      <c r="BB128" s="581">
        <v>50000</v>
      </c>
      <c r="BC128" s="597">
        <f>Table35[[#This Row],[Total Expenditure]]/Table35[[#This Row],[Number of pupils (FTE)]]</f>
        <v>6551.3447432762832</v>
      </c>
      <c r="BD128" s="598">
        <f>Table35[[#This Row],[Total Staff Costs]]/Table35[[#This Row],[Number of pupils (FTE)]]</f>
        <v>5138.1418092909535</v>
      </c>
      <c r="BE128" s="598">
        <f>Table35[[#This Row],[Teaching staff]]/Table35[[#This Row],[Number of teachers in academy (FTE)]]</f>
        <v>0</v>
      </c>
      <c r="BF128" s="599">
        <f>Table35[[#This Row],[Number of pupils (FTE)]]/Table35[[#This Row],[Number of teachers in academy (FTE)]]</f>
        <v>18.287502794545048</v>
      </c>
      <c r="BG128" s="600">
        <f t="shared" si="10"/>
        <v>1111.2469437652812</v>
      </c>
      <c r="BH128" s="598">
        <f>Table35[[#This Row],[Premises Costs]]/Table35[[#This Row],[Number of pupils (FTE)]]</f>
        <v>276.28361858190709</v>
      </c>
      <c r="BI128" s="598">
        <f>Table35[[#This Row],[Maintenance &amp; Improvement Costs]]/Table35[[#This Row],[Number of pupils (FTE)]]</f>
        <v>106.35696821515893</v>
      </c>
      <c r="BJ128" s="598" t="e">
        <f>#REF!/E128</f>
        <v>#REF!</v>
      </c>
      <c r="BK128" s="598">
        <f t="shared" si="11"/>
        <v>13.447432762836186</v>
      </c>
      <c r="BL128" s="598">
        <f t="shared" si="12"/>
        <v>35.452322738386307</v>
      </c>
      <c r="BM128" s="598">
        <f t="shared" si="13"/>
        <v>113.6919315403423</v>
      </c>
      <c r="BN128" s="598">
        <f t="shared" si="14"/>
        <v>227.38386308068459</v>
      </c>
      <c r="BO128" s="598">
        <f t="shared" si="15"/>
        <v>45.23227383863081</v>
      </c>
      <c r="BP128" s="598">
        <f t="shared" si="16"/>
        <v>107.57946210268949</v>
      </c>
      <c r="BQ128" s="598">
        <f t="shared" si="17"/>
        <v>588.01955990220051</v>
      </c>
      <c r="BR128" s="598">
        <f t="shared" si="18"/>
        <v>419.31540342298291</v>
      </c>
      <c r="BS128" s="598">
        <f t="shared" si="19"/>
        <v>61.124694376528119</v>
      </c>
    </row>
    <row r="129" spans="1:71" ht="29" hidden="1" x14ac:dyDescent="0.35">
      <c r="A129" s="580">
        <v>925</v>
      </c>
      <c r="B129" s="580" t="s">
        <v>489</v>
      </c>
      <c r="C129" s="593" t="s">
        <v>662</v>
      </c>
      <c r="D129" s="593" t="s">
        <v>643</v>
      </c>
      <c r="E129" s="580">
        <v>1420</v>
      </c>
      <c r="F129" s="580">
        <v>73.8</v>
      </c>
      <c r="G129" s="580" t="s">
        <v>644</v>
      </c>
      <c r="H129" s="580">
        <v>24.8</v>
      </c>
      <c r="I129" s="580">
        <v>3.1</v>
      </c>
      <c r="J129" s="580">
        <v>11.8</v>
      </c>
      <c r="K129" s="580">
        <v>0</v>
      </c>
      <c r="L129" s="581">
        <v>10798000</v>
      </c>
      <c r="M129" s="581">
        <v>9162000</v>
      </c>
      <c r="N129" s="582">
        <f>Table35[[#This Row],[Total Income]]-Table35[[#This Row],[Total Expenditure]]</f>
        <v>1636000</v>
      </c>
      <c r="O129" s="581">
        <v>0</v>
      </c>
      <c r="Z129" s="581">
        <v>6943000</v>
      </c>
      <c r="AA129" s="595">
        <f>M129-Z129-Table35[[#This Row],[Maintenance &amp; Improvement]]-Table35[[#This Row],[Cleaning &amp; Caretaking]]-Table35[[#This Row],[Catering Supply]]</f>
        <v>1311000</v>
      </c>
      <c r="AB129" s="581">
        <v>224000</v>
      </c>
      <c r="AC129" s="594">
        <v>224000</v>
      </c>
      <c r="AD129" s="594">
        <v>165000</v>
      </c>
      <c r="AE129" s="594">
        <v>124000</v>
      </c>
      <c r="AF129" s="594">
        <v>0</v>
      </c>
      <c r="AG129" s="581">
        <v>513000</v>
      </c>
      <c r="AH129" s="581">
        <v>648000</v>
      </c>
      <c r="AI129" s="596">
        <v>129000</v>
      </c>
      <c r="AJ129" s="594">
        <v>519000</v>
      </c>
      <c r="AK129" s="594">
        <v>2000</v>
      </c>
      <c r="AL129" s="594">
        <v>36000</v>
      </c>
      <c r="AM129" s="594">
        <v>272000</v>
      </c>
      <c r="AN129" s="594">
        <v>38000</v>
      </c>
      <c r="AO129" s="594">
        <v>39000</v>
      </c>
      <c r="AP129" s="581">
        <v>1035000</v>
      </c>
      <c r="AQ129" s="594">
        <v>165000</v>
      </c>
      <c r="AR129" s="594">
        <v>0</v>
      </c>
      <c r="AS129" s="594">
        <v>123000</v>
      </c>
      <c r="AT129" s="594">
        <v>357000</v>
      </c>
      <c r="AU129" s="581">
        <v>668000</v>
      </c>
      <c r="AV129" s="594">
        <v>165000</v>
      </c>
      <c r="AW129" s="594">
        <v>0</v>
      </c>
      <c r="AX129" s="594">
        <v>123000</v>
      </c>
      <c r="AY129" s="581">
        <v>288000</v>
      </c>
      <c r="AZ129" s="594">
        <v>0</v>
      </c>
      <c r="BA129" s="594">
        <v>23000</v>
      </c>
      <c r="BB129" s="581">
        <v>23000</v>
      </c>
      <c r="BC129" s="597">
        <f>Table35[[#This Row],[Total Expenditure]]/Table35[[#This Row],[Number of pupils (FTE)]]</f>
        <v>6452.1126760563384</v>
      </c>
      <c r="BD129" s="598">
        <f>Table35[[#This Row],[Total Staff Costs]]/Table35[[#This Row],[Number of pupils (FTE)]]</f>
        <v>4889.4366197183099</v>
      </c>
      <c r="BE129" s="598">
        <f>Table35[[#This Row],[Teaching staff]]/Table35[[#This Row],[Number of teachers in academy (FTE)]]</f>
        <v>0</v>
      </c>
      <c r="BF129" s="599">
        <f>Table35[[#This Row],[Number of pupils (FTE)]]/Table35[[#This Row],[Number of teachers in academy (FTE)]]</f>
        <v>19.241192411924121</v>
      </c>
      <c r="BG129" s="600">
        <f t="shared" si="10"/>
        <v>923.23943661971828</v>
      </c>
      <c r="BH129" s="598">
        <f>Table35[[#This Row],[Premises Costs]]/Table35[[#This Row],[Number of pupils (FTE)]]</f>
        <v>361.26760563380282</v>
      </c>
      <c r="BI129" s="598">
        <f>Table35[[#This Row],[Maintenance &amp; Improvement Costs]]/Table35[[#This Row],[Number of pupils (FTE)]]</f>
        <v>157.74647887323943</v>
      </c>
      <c r="BJ129" s="598" t="e">
        <f>#REF!/E129</f>
        <v>#REF!</v>
      </c>
      <c r="BK129" s="598">
        <f t="shared" si="11"/>
        <v>1.408450704225352</v>
      </c>
      <c r="BL129" s="598">
        <f t="shared" si="12"/>
        <v>25.35211267605634</v>
      </c>
      <c r="BM129" s="598">
        <f t="shared" si="13"/>
        <v>191.54929577464787</v>
      </c>
      <c r="BN129" s="598">
        <f t="shared" si="14"/>
        <v>116.19718309859155</v>
      </c>
      <c r="BO129" s="598">
        <f t="shared" si="15"/>
        <v>0</v>
      </c>
      <c r="BP129" s="598">
        <f t="shared" si="16"/>
        <v>251.40845070422534</v>
      </c>
      <c r="BQ129" s="598">
        <f t="shared" si="17"/>
        <v>470.42253521126759</v>
      </c>
      <c r="BR129" s="598">
        <f t="shared" si="18"/>
        <v>202.81690140845072</v>
      </c>
      <c r="BS129" s="598">
        <f t="shared" si="19"/>
        <v>16.197183098591548</v>
      </c>
    </row>
    <row r="130" spans="1:71" ht="29" hidden="1" x14ac:dyDescent="0.35">
      <c r="A130" s="580">
        <v>925</v>
      </c>
      <c r="B130" s="580" t="s">
        <v>489</v>
      </c>
      <c r="C130" s="593" t="s">
        <v>663</v>
      </c>
      <c r="D130" s="593" t="s">
        <v>532</v>
      </c>
      <c r="E130" s="580">
        <v>869</v>
      </c>
      <c r="F130" s="580">
        <v>72.2</v>
      </c>
      <c r="G130" s="580" t="s">
        <v>644</v>
      </c>
      <c r="H130" s="580">
        <v>37.5</v>
      </c>
      <c r="I130" s="580">
        <v>3.1</v>
      </c>
      <c r="J130" s="580">
        <v>16.899999999999999</v>
      </c>
      <c r="K130" s="580">
        <v>0</v>
      </c>
      <c r="L130" s="581">
        <v>7501000</v>
      </c>
      <c r="M130" s="581">
        <v>6981000</v>
      </c>
      <c r="N130" s="582">
        <f>Table35[[#This Row],[Total Income]]-Table35[[#This Row],[Total Expenditure]]</f>
        <v>520000</v>
      </c>
      <c r="O130" s="581">
        <v>1928000</v>
      </c>
      <c r="Z130" s="581">
        <v>5553000</v>
      </c>
      <c r="AA130" s="595">
        <f>M130-Z130-Table35[[#This Row],[Maintenance &amp; Improvement]]-Table35[[#This Row],[Cleaning &amp; Caretaking]]-Table35[[#This Row],[Catering Supply]]</f>
        <v>941000</v>
      </c>
      <c r="AB130" s="581">
        <v>117000</v>
      </c>
      <c r="AC130" s="594">
        <v>117000</v>
      </c>
      <c r="AD130" s="594">
        <v>10000</v>
      </c>
      <c r="AE130" s="594">
        <v>281000</v>
      </c>
      <c r="AF130" s="594">
        <v>0</v>
      </c>
      <c r="AG130" s="581">
        <v>408000</v>
      </c>
      <c r="AH130" s="581">
        <v>360000</v>
      </c>
      <c r="AI130" s="596">
        <v>0</v>
      </c>
      <c r="AJ130" s="594">
        <v>360000</v>
      </c>
      <c r="AK130" s="594">
        <v>10000</v>
      </c>
      <c r="AL130" s="594">
        <v>53000</v>
      </c>
      <c r="AM130" s="594">
        <v>140000</v>
      </c>
      <c r="AN130" s="594">
        <v>0</v>
      </c>
      <c r="AO130" s="594">
        <v>19000</v>
      </c>
      <c r="AP130" s="581">
        <v>582000</v>
      </c>
      <c r="AQ130" s="594">
        <v>181000</v>
      </c>
      <c r="AR130" s="594">
        <v>53000</v>
      </c>
      <c r="AS130" s="594">
        <v>82000</v>
      </c>
      <c r="AT130" s="594">
        <v>32000</v>
      </c>
      <c r="AU130" s="581">
        <v>438000</v>
      </c>
      <c r="AV130" s="594">
        <v>181000</v>
      </c>
      <c r="AW130" s="594">
        <v>53000</v>
      </c>
      <c r="AX130" s="594">
        <v>82000</v>
      </c>
      <c r="AY130" s="581">
        <v>316000</v>
      </c>
      <c r="AZ130" s="594">
        <v>26000</v>
      </c>
      <c r="BA130" s="594">
        <v>64000</v>
      </c>
      <c r="BB130" s="581">
        <v>90000</v>
      </c>
      <c r="BC130" s="597">
        <f>Table35[[#This Row],[Total Expenditure]]/Table35[[#This Row],[Number of pupils (FTE)]]</f>
        <v>8033.3716915995401</v>
      </c>
      <c r="BD130" s="598">
        <f>Table35[[#This Row],[Total Staff Costs]]/Table35[[#This Row],[Number of pupils (FTE)]]</f>
        <v>6390.1035673187571</v>
      </c>
      <c r="BE130" s="598">
        <f>Table35[[#This Row],[Teaching staff]]/Table35[[#This Row],[Number of teachers in academy (FTE)]]</f>
        <v>0</v>
      </c>
      <c r="BF130" s="599">
        <f>Table35[[#This Row],[Number of pupils (FTE)]]/Table35[[#This Row],[Number of teachers in academy (FTE)]]</f>
        <v>12.036011080332409</v>
      </c>
      <c r="BG130" s="600">
        <f t="shared" si="10"/>
        <v>1082.8538550057538</v>
      </c>
      <c r="BH130" s="598">
        <f>Table35[[#This Row],[Premises Costs]]/Table35[[#This Row],[Number of pupils (FTE)]]</f>
        <v>469.50517836593787</v>
      </c>
      <c r="BI130" s="598">
        <f>Table35[[#This Row],[Maintenance &amp; Improvement Costs]]/Table35[[#This Row],[Number of pupils (FTE)]]</f>
        <v>134.63751438434983</v>
      </c>
      <c r="BJ130" s="598" t="e">
        <f>#REF!/E130</f>
        <v>#REF!</v>
      </c>
      <c r="BK130" s="598">
        <f t="shared" si="11"/>
        <v>11.507479861910241</v>
      </c>
      <c r="BL130" s="598">
        <f t="shared" si="12"/>
        <v>60.989643268124283</v>
      </c>
      <c r="BM130" s="598">
        <f t="shared" si="13"/>
        <v>161.10471806674337</v>
      </c>
      <c r="BN130" s="598">
        <f t="shared" si="14"/>
        <v>208.28538550057539</v>
      </c>
      <c r="BO130" s="598">
        <f t="shared" si="15"/>
        <v>60.989643268124283</v>
      </c>
      <c r="BP130" s="598">
        <f t="shared" si="16"/>
        <v>36.823935558112773</v>
      </c>
      <c r="BQ130" s="598">
        <f t="shared" si="17"/>
        <v>504.02761795166856</v>
      </c>
      <c r="BR130" s="598">
        <f t="shared" si="18"/>
        <v>363.63636363636363</v>
      </c>
      <c r="BS130" s="598">
        <f t="shared" si="19"/>
        <v>103.56731875719217</v>
      </c>
    </row>
    <row r="131" spans="1:71" ht="29" hidden="1" x14ac:dyDescent="0.35">
      <c r="A131" s="580">
        <v>925</v>
      </c>
      <c r="B131" s="580" t="s">
        <v>489</v>
      </c>
      <c r="C131" s="593" t="s">
        <v>664</v>
      </c>
      <c r="D131" s="593" t="s">
        <v>513</v>
      </c>
      <c r="E131" s="580">
        <v>567</v>
      </c>
      <c r="F131" s="580">
        <v>36</v>
      </c>
      <c r="G131" s="580" t="s">
        <v>644</v>
      </c>
      <c r="H131" s="580">
        <v>25.2</v>
      </c>
      <c r="I131" s="580">
        <v>6.9</v>
      </c>
      <c r="J131" s="580">
        <v>18</v>
      </c>
      <c r="K131" s="580">
        <v>0</v>
      </c>
      <c r="L131" s="581">
        <v>4579000</v>
      </c>
      <c r="M131" s="581">
        <v>4334000</v>
      </c>
      <c r="N131" s="582">
        <f>Table35[[#This Row],[Total Income]]-Table35[[#This Row],[Total Expenditure]]</f>
        <v>245000</v>
      </c>
      <c r="O131" s="581">
        <v>735000</v>
      </c>
      <c r="Z131" s="581">
        <v>3359000</v>
      </c>
      <c r="AA131" s="595">
        <f>M131-Z131-Table35[[#This Row],[Maintenance &amp; Improvement]]-Table35[[#This Row],[Cleaning &amp; Caretaking]]-Table35[[#This Row],[Catering Supply]]</f>
        <v>750000</v>
      </c>
      <c r="AB131" s="581">
        <v>64000</v>
      </c>
      <c r="AC131" s="594">
        <v>64000</v>
      </c>
      <c r="AD131" s="594">
        <v>72000</v>
      </c>
      <c r="AE131" s="594">
        <v>97000</v>
      </c>
      <c r="AF131" s="594">
        <v>0</v>
      </c>
      <c r="AG131" s="581">
        <v>233000</v>
      </c>
      <c r="AH131" s="581">
        <v>164000</v>
      </c>
      <c r="AI131" s="596">
        <v>75000</v>
      </c>
      <c r="AJ131" s="594">
        <v>89000</v>
      </c>
      <c r="AK131" s="594">
        <v>12000</v>
      </c>
      <c r="AL131" s="594">
        <v>13000</v>
      </c>
      <c r="AM131" s="594">
        <v>65000</v>
      </c>
      <c r="AN131" s="594">
        <v>12000</v>
      </c>
      <c r="AO131" s="594">
        <v>50000</v>
      </c>
      <c r="AP131" s="581">
        <v>316000</v>
      </c>
      <c r="AQ131" s="594">
        <v>184000</v>
      </c>
      <c r="AR131" s="594">
        <v>6000</v>
      </c>
      <c r="AS131" s="594">
        <v>46000</v>
      </c>
      <c r="AT131" s="594">
        <v>146000</v>
      </c>
      <c r="AU131" s="581">
        <v>418000</v>
      </c>
      <c r="AV131" s="594">
        <v>184000</v>
      </c>
      <c r="AW131" s="594">
        <v>6000</v>
      </c>
      <c r="AX131" s="594">
        <v>46000</v>
      </c>
      <c r="AY131" s="581">
        <v>236000</v>
      </c>
      <c r="AZ131" s="594">
        <v>25000</v>
      </c>
      <c r="BA131" s="594">
        <v>11000</v>
      </c>
      <c r="BB131" s="581">
        <v>36000</v>
      </c>
      <c r="BC131" s="597">
        <f>Table35[[#This Row],[Total Expenditure]]/Table35[[#This Row],[Number of pupils (FTE)]]</f>
        <v>7643.7389770723103</v>
      </c>
      <c r="BD131" s="598">
        <f>Table35[[#This Row],[Total Staff Costs]]/Table35[[#This Row],[Number of pupils (FTE)]]</f>
        <v>5924.1622574955909</v>
      </c>
      <c r="BE131" s="598">
        <f>Table35[[#This Row],[Teaching staff]]/Table35[[#This Row],[Number of teachers in academy (FTE)]]</f>
        <v>0</v>
      </c>
      <c r="BF131" s="599">
        <f>Table35[[#This Row],[Number of pupils (FTE)]]/Table35[[#This Row],[Number of teachers in academy (FTE)]]</f>
        <v>15.75</v>
      </c>
      <c r="BG131" s="600">
        <f t="shared" ref="BG131:BG194" si="20">AA131/E131</f>
        <v>1322.7513227513227</v>
      </c>
      <c r="BH131" s="598">
        <f>Table35[[#This Row],[Premises Costs]]/Table35[[#This Row],[Number of pupils (FTE)]]</f>
        <v>410.93474426807762</v>
      </c>
      <c r="BI131" s="598">
        <f>Table35[[#This Row],[Maintenance &amp; Improvement Costs]]/Table35[[#This Row],[Number of pupils (FTE)]]</f>
        <v>112.8747795414462</v>
      </c>
      <c r="BJ131" s="598" t="e">
        <f>#REF!/E131</f>
        <v>#REF!</v>
      </c>
      <c r="BK131" s="598">
        <f t="shared" ref="BK131:BK194" si="21">AK131/E131</f>
        <v>21.164021164021165</v>
      </c>
      <c r="BL131" s="598">
        <f t="shared" ref="BL131:BL194" si="22">AL131/E131</f>
        <v>22.927689594356259</v>
      </c>
      <c r="BM131" s="598">
        <f t="shared" ref="BM131:BM194" si="23">AM131/E131</f>
        <v>114.6384479717813</v>
      </c>
      <c r="BN131" s="598">
        <f t="shared" ref="BN131:BN194" si="24">AQ131/E131</f>
        <v>324.51499118165788</v>
      </c>
      <c r="BO131" s="598">
        <f t="shared" ref="BO131:BO194" si="25">AR131/E131</f>
        <v>10.582010582010582</v>
      </c>
      <c r="BP131" s="598">
        <f t="shared" ref="BP131:BP194" si="26">AT131/E131</f>
        <v>257.49559082892415</v>
      </c>
      <c r="BQ131" s="598">
        <f t="shared" ref="BQ131:BQ194" si="27">AU131/E131</f>
        <v>737.21340388007059</v>
      </c>
      <c r="BR131" s="598">
        <f t="shared" ref="BR131:BR194" si="28">AY131/E131</f>
        <v>416.22574955908289</v>
      </c>
      <c r="BS131" s="598">
        <f t="shared" ref="BS131:BS194" si="29">BB131/E131</f>
        <v>63.492063492063494</v>
      </c>
    </row>
    <row r="132" spans="1:71" ht="29" hidden="1" x14ac:dyDescent="0.35">
      <c r="A132" s="580">
        <v>925</v>
      </c>
      <c r="B132" s="580" t="s">
        <v>489</v>
      </c>
      <c r="C132" s="593" t="s">
        <v>665</v>
      </c>
      <c r="D132" s="593" t="s">
        <v>666</v>
      </c>
      <c r="E132" s="580">
        <v>690</v>
      </c>
      <c r="F132" s="580">
        <v>46.9</v>
      </c>
      <c r="G132" s="580" t="s">
        <v>644</v>
      </c>
      <c r="H132" s="580">
        <v>58.3</v>
      </c>
      <c r="I132" s="580">
        <v>3.8</v>
      </c>
      <c r="J132" s="580">
        <v>26.2</v>
      </c>
      <c r="K132" s="580">
        <v>0</v>
      </c>
      <c r="L132" s="581">
        <v>6431000</v>
      </c>
      <c r="M132" s="581">
        <v>5969000</v>
      </c>
      <c r="N132" s="582">
        <f>Table35[[#This Row],[Total Income]]-Table35[[#This Row],[Total Expenditure]]</f>
        <v>462000</v>
      </c>
      <c r="O132" s="581">
        <v>983000</v>
      </c>
      <c r="Z132" s="581">
        <v>4372000</v>
      </c>
      <c r="AA132" s="595">
        <f>M132-Z132-Table35[[#This Row],[Maintenance &amp; Improvement]]-Table35[[#This Row],[Cleaning &amp; Caretaking]]-Table35[[#This Row],[Catering Supply]]</f>
        <v>1468000</v>
      </c>
      <c r="AB132" s="581">
        <v>0</v>
      </c>
      <c r="AC132" s="594">
        <v>0</v>
      </c>
      <c r="AD132" s="594">
        <v>0</v>
      </c>
      <c r="AE132" s="594">
        <v>195000</v>
      </c>
      <c r="AF132" s="594">
        <v>0</v>
      </c>
      <c r="AG132" s="581">
        <v>195000</v>
      </c>
      <c r="AH132" s="581">
        <v>129000</v>
      </c>
      <c r="AI132" s="596">
        <v>0</v>
      </c>
      <c r="AJ132" s="594">
        <v>129000</v>
      </c>
      <c r="AK132" s="594">
        <v>28000</v>
      </c>
      <c r="AL132" s="594">
        <v>35000</v>
      </c>
      <c r="AM132" s="594">
        <v>489000</v>
      </c>
      <c r="AN132" s="594">
        <v>0</v>
      </c>
      <c r="AO132" s="594">
        <v>0</v>
      </c>
      <c r="AP132" s="581">
        <v>681000</v>
      </c>
      <c r="AQ132" s="594">
        <v>33000</v>
      </c>
      <c r="AR132" s="594">
        <v>4000</v>
      </c>
      <c r="AS132" s="594">
        <v>64000</v>
      </c>
      <c r="AT132" s="594">
        <v>618000</v>
      </c>
      <c r="AU132" s="581">
        <v>719000</v>
      </c>
      <c r="AV132" s="594">
        <v>33000</v>
      </c>
      <c r="AW132" s="594">
        <v>4000</v>
      </c>
      <c r="AX132" s="594">
        <v>64000</v>
      </c>
      <c r="AY132" s="581">
        <v>101000</v>
      </c>
      <c r="AZ132" s="594">
        <v>0</v>
      </c>
      <c r="BA132" s="594">
        <v>0</v>
      </c>
      <c r="BB132" s="581">
        <v>0</v>
      </c>
      <c r="BC132" s="597">
        <f>Table35[[#This Row],[Total Expenditure]]/Table35[[#This Row],[Number of pupils (FTE)]]</f>
        <v>8650.7246376811599</v>
      </c>
      <c r="BD132" s="598">
        <f>Table35[[#This Row],[Total Staff Costs]]/Table35[[#This Row],[Number of pupils (FTE)]]</f>
        <v>6336.231884057971</v>
      </c>
      <c r="BE132" s="598">
        <f>Table35[[#This Row],[Teaching staff]]/Table35[[#This Row],[Number of teachers in academy (FTE)]]</f>
        <v>0</v>
      </c>
      <c r="BF132" s="599">
        <f>Table35[[#This Row],[Number of pupils (FTE)]]/Table35[[#This Row],[Number of teachers in academy (FTE)]]</f>
        <v>14.712153518123667</v>
      </c>
      <c r="BG132" s="600">
        <f t="shared" si="20"/>
        <v>2127.536231884058</v>
      </c>
      <c r="BH132" s="598">
        <f>Table35[[#This Row],[Premises Costs]]/Table35[[#This Row],[Number of pupils (FTE)]]</f>
        <v>282.60869565217394</v>
      </c>
      <c r="BI132" s="598">
        <f>Table35[[#This Row],[Maintenance &amp; Improvement Costs]]/Table35[[#This Row],[Number of pupils (FTE)]]</f>
        <v>0</v>
      </c>
      <c r="BJ132" s="598" t="e">
        <f>#REF!/E132</f>
        <v>#REF!</v>
      </c>
      <c r="BK132" s="598">
        <f t="shared" si="21"/>
        <v>40.579710144927539</v>
      </c>
      <c r="BL132" s="598">
        <f t="shared" si="22"/>
        <v>50.724637681159422</v>
      </c>
      <c r="BM132" s="598">
        <f t="shared" si="23"/>
        <v>708.695652173913</v>
      </c>
      <c r="BN132" s="598">
        <f t="shared" si="24"/>
        <v>47.826086956521742</v>
      </c>
      <c r="BO132" s="598">
        <f t="shared" si="25"/>
        <v>5.7971014492753623</v>
      </c>
      <c r="BP132" s="598">
        <f t="shared" si="26"/>
        <v>895.6521739130435</v>
      </c>
      <c r="BQ132" s="598">
        <f t="shared" si="27"/>
        <v>1042.0289855072465</v>
      </c>
      <c r="BR132" s="598">
        <f t="shared" si="28"/>
        <v>146.37681159420291</v>
      </c>
      <c r="BS132" s="598">
        <f t="shared" si="29"/>
        <v>0</v>
      </c>
    </row>
    <row r="133" spans="1:71" ht="29" hidden="1" x14ac:dyDescent="0.35">
      <c r="A133" s="580">
        <v>925</v>
      </c>
      <c r="B133" s="580" t="s">
        <v>489</v>
      </c>
      <c r="C133" s="593" t="s">
        <v>667</v>
      </c>
      <c r="D133" s="593" t="s">
        <v>538</v>
      </c>
      <c r="E133" s="580">
        <v>721</v>
      </c>
      <c r="F133" s="580">
        <v>47</v>
      </c>
      <c r="G133" s="580" t="s">
        <v>644</v>
      </c>
      <c r="H133" s="580">
        <v>37</v>
      </c>
      <c r="I133" s="580">
        <v>4.3</v>
      </c>
      <c r="J133" s="580">
        <v>17.8</v>
      </c>
      <c r="K133" s="580">
        <v>0</v>
      </c>
      <c r="L133" s="581">
        <v>5971000</v>
      </c>
      <c r="M133" s="581">
        <v>6136000</v>
      </c>
      <c r="N133" s="582">
        <f>Table35[[#This Row],[Total Income]]-Table35[[#This Row],[Total Expenditure]]</f>
        <v>-165000</v>
      </c>
      <c r="O133" s="581">
        <v>-287000</v>
      </c>
      <c r="Z133" s="581">
        <v>4849000</v>
      </c>
      <c r="AA133" s="595">
        <f>M133-Z133-Table35[[#This Row],[Maintenance &amp; Improvement]]-Table35[[#This Row],[Cleaning &amp; Caretaking]]-Table35[[#This Row],[Catering Supply]]</f>
        <v>1113000</v>
      </c>
      <c r="AB133" s="581">
        <v>53000</v>
      </c>
      <c r="AC133" s="594">
        <v>53000</v>
      </c>
      <c r="AD133" s="594">
        <v>8000</v>
      </c>
      <c r="AE133" s="594">
        <v>217000</v>
      </c>
      <c r="AF133" s="594">
        <v>0</v>
      </c>
      <c r="AG133" s="581">
        <v>278000</v>
      </c>
      <c r="AH133" s="581">
        <v>113000</v>
      </c>
      <c r="AI133" s="596">
        <v>0</v>
      </c>
      <c r="AJ133" s="594">
        <v>113000</v>
      </c>
      <c r="AK133" s="594">
        <v>19000</v>
      </c>
      <c r="AL133" s="594">
        <v>21000</v>
      </c>
      <c r="AM133" s="594">
        <v>170000</v>
      </c>
      <c r="AN133" s="594">
        <v>16000</v>
      </c>
      <c r="AO133" s="594">
        <v>28000</v>
      </c>
      <c r="AP133" s="581">
        <v>367000</v>
      </c>
      <c r="AQ133" s="594">
        <v>175000</v>
      </c>
      <c r="AR133" s="594">
        <v>52000</v>
      </c>
      <c r="AS133" s="594">
        <v>70000</v>
      </c>
      <c r="AT133" s="594">
        <v>260000</v>
      </c>
      <c r="AU133" s="581">
        <v>640000</v>
      </c>
      <c r="AV133" s="594">
        <v>175000</v>
      </c>
      <c r="AW133" s="594">
        <v>52000</v>
      </c>
      <c r="AX133" s="594">
        <v>70000</v>
      </c>
      <c r="AY133" s="581">
        <v>297000</v>
      </c>
      <c r="AZ133" s="594">
        <v>65000</v>
      </c>
      <c r="BA133" s="594">
        <v>18000</v>
      </c>
      <c r="BB133" s="581">
        <v>83000</v>
      </c>
      <c r="BC133" s="597">
        <f>Table35[[#This Row],[Total Expenditure]]/Table35[[#This Row],[Number of pupils (FTE)]]</f>
        <v>8510.4022191400836</v>
      </c>
      <c r="BD133" s="598">
        <f>Table35[[#This Row],[Total Staff Costs]]/Table35[[#This Row],[Number of pupils (FTE)]]</f>
        <v>6725.3814147018029</v>
      </c>
      <c r="BE133" s="598">
        <f>Table35[[#This Row],[Teaching staff]]/Table35[[#This Row],[Number of teachers in academy (FTE)]]</f>
        <v>0</v>
      </c>
      <c r="BF133" s="599">
        <f>Table35[[#This Row],[Number of pupils (FTE)]]/Table35[[#This Row],[Number of teachers in academy (FTE)]]</f>
        <v>15.340425531914894</v>
      </c>
      <c r="BG133" s="600">
        <f t="shared" si="20"/>
        <v>1543.6893203883494</v>
      </c>
      <c r="BH133" s="598">
        <f>Table35[[#This Row],[Premises Costs]]/Table35[[#This Row],[Number of pupils (FTE)]]</f>
        <v>385.5755894590846</v>
      </c>
      <c r="BI133" s="598">
        <f>Table35[[#This Row],[Maintenance &amp; Improvement Costs]]/Table35[[#This Row],[Number of pupils (FTE)]]</f>
        <v>73.509015256588071</v>
      </c>
      <c r="BJ133" s="598" t="e">
        <f>#REF!/E133</f>
        <v>#REF!</v>
      </c>
      <c r="BK133" s="598">
        <f t="shared" si="21"/>
        <v>26.352288488210817</v>
      </c>
      <c r="BL133" s="598">
        <f t="shared" si="22"/>
        <v>29.126213592233011</v>
      </c>
      <c r="BM133" s="598">
        <f t="shared" si="23"/>
        <v>235.78363384188626</v>
      </c>
      <c r="BN133" s="598">
        <f t="shared" si="24"/>
        <v>242.71844660194174</v>
      </c>
      <c r="BO133" s="598">
        <f t="shared" si="25"/>
        <v>72.122052704576973</v>
      </c>
      <c r="BP133" s="598">
        <f t="shared" si="26"/>
        <v>360.61026352288491</v>
      </c>
      <c r="BQ133" s="598">
        <f t="shared" si="27"/>
        <v>887.6560332871012</v>
      </c>
      <c r="BR133" s="598">
        <f t="shared" si="28"/>
        <v>411.92787794729543</v>
      </c>
      <c r="BS133" s="598">
        <f t="shared" si="29"/>
        <v>115.11789181692095</v>
      </c>
    </row>
    <row r="134" spans="1:71" ht="29" hidden="1" x14ac:dyDescent="0.35">
      <c r="A134" s="580">
        <v>925</v>
      </c>
      <c r="B134" s="580" t="s">
        <v>489</v>
      </c>
      <c r="C134" s="593" t="s">
        <v>668</v>
      </c>
      <c r="D134" s="593" t="s">
        <v>669</v>
      </c>
      <c r="E134" s="580">
        <v>626</v>
      </c>
      <c r="F134" s="580">
        <v>41.17</v>
      </c>
      <c r="G134" s="580" t="s">
        <v>644</v>
      </c>
      <c r="H134" s="580">
        <v>46.6</v>
      </c>
      <c r="I134" s="580">
        <v>5.3</v>
      </c>
      <c r="J134" s="580">
        <v>14.1</v>
      </c>
      <c r="K134" s="580">
        <v>0</v>
      </c>
      <c r="L134" s="581">
        <v>5943000</v>
      </c>
      <c r="M134" s="581">
        <v>5897000</v>
      </c>
      <c r="N134" s="582">
        <f>Table35[[#This Row],[Total Income]]-Table35[[#This Row],[Total Expenditure]]</f>
        <v>46000</v>
      </c>
      <c r="O134" s="581">
        <v>719000</v>
      </c>
      <c r="Z134" s="581">
        <v>4371000</v>
      </c>
      <c r="AA134" s="595">
        <f>M134-Z134-Table35[[#This Row],[Maintenance &amp; Improvement]]-Table35[[#This Row],[Cleaning &amp; Caretaking]]-Table35[[#This Row],[Catering Supply]]</f>
        <v>1084000</v>
      </c>
      <c r="AB134" s="581">
        <v>71000</v>
      </c>
      <c r="AC134" s="594">
        <v>71000</v>
      </c>
      <c r="AD134" s="594">
        <v>70000</v>
      </c>
      <c r="AE134" s="594">
        <v>122000</v>
      </c>
      <c r="AF134" s="594">
        <v>0</v>
      </c>
      <c r="AG134" s="581">
        <v>263000</v>
      </c>
      <c r="AH134" s="581">
        <v>525000</v>
      </c>
      <c r="AI134" s="596">
        <v>224000</v>
      </c>
      <c r="AJ134" s="594">
        <v>301000</v>
      </c>
      <c r="AK134" s="594">
        <v>28000</v>
      </c>
      <c r="AL134" s="594">
        <v>28000</v>
      </c>
      <c r="AM134" s="594">
        <v>133000</v>
      </c>
      <c r="AN134" s="594">
        <v>15000</v>
      </c>
      <c r="AO134" s="594">
        <v>38000</v>
      </c>
      <c r="AP134" s="581">
        <v>767000</v>
      </c>
      <c r="AQ134" s="594">
        <v>243000</v>
      </c>
      <c r="AR134" s="594">
        <v>76000</v>
      </c>
      <c r="AS134" s="594">
        <v>60000</v>
      </c>
      <c r="AT134" s="594">
        <v>42000</v>
      </c>
      <c r="AU134" s="581">
        <v>496000</v>
      </c>
      <c r="AV134" s="594">
        <v>243000</v>
      </c>
      <c r="AW134" s="594">
        <v>76000</v>
      </c>
      <c r="AX134" s="594">
        <v>60000</v>
      </c>
      <c r="AY134" s="581">
        <v>379000</v>
      </c>
      <c r="AZ134" s="594">
        <v>26000</v>
      </c>
      <c r="BA134" s="594">
        <v>49000</v>
      </c>
      <c r="BB134" s="581">
        <v>75000</v>
      </c>
      <c r="BC134" s="597">
        <f>Table35[[#This Row],[Total Expenditure]]/Table35[[#This Row],[Number of pupils (FTE)]]</f>
        <v>9420.1277955271562</v>
      </c>
      <c r="BD134" s="598">
        <f>Table35[[#This Row],[Total Staff Costs]]/Table35[[#This Row],[Number of pupils (FTE)]]</f>
        <v>6982.4281150159741</v>
      </c>
      <c r="BE134" s="598">
        <f>Table35[[#This Row],[Teaching staff]]/Table35[[#This Row],[Number of teachers in academy (FTE)]]</f>
        <v>0</v>
      </c>
      <c r="BF134" s="599">
        <f>Table35[[#This Row],[Number of pupils (FTE)]]/Table35[[#This Row],[Number of teachers in academy (FTE)]]</f>
        <v>15.205246538741802</v>
      </c>
      <c r="BG134" s="600">
        <f t="shared" si="20"/>
        <v>1731.629392971246</v>
      </c>
      <c r="BH134" s="598">
        <f>Table35[[#This Row],[Premises Costs]]/Table35[[#This Row],[Number of pupils (FTE)]]</f>
        <v>420.12779552715654</v>
      </c>
      <c r="BI134" s="598">
        <f>Table35[[#This Row],[Maintenance &amp; Improvement Costs]]/Table35[[#This Row],[Number of pupils (FTE)]]</f>
        <v>113.4185303514377</v>
      </c>
      <c r="BJ134" s="598" t="e">
        <f>#REF!/E134</f>
        <v>#REF!</v>
      </c>
      <c r="BK134" s="598">
        <f t="shared" si="21"/>
        <v>44.728434504792332</v>
      </c>
      <c r="BL134" s="598">
        <f t="shared" si="22"/>
        <v>44.728434504792332</v>
      </c>
      <c r="BM134" s="598">
        <f t="shared" si="23"/>
        <v>212.46006389776358</v>
      </c>
      <c r="BN134" s="598">
        <f t="shared" si="24"/>
        <v>388.17891373801916</v>
      </c>
      <c r="BO134" s="598">
        <f t="shared" si="25"/>
        <v>121.40575079872204</v>
      </c>
      <c r="BP134" s="598">
        <f t="shared" si="26"/>
        <v>67.092651757188492</v>
      </c>
      <c r="BQ134" s="598">
        <f t="shared" si="27"/>
        <v>792.33226837060704</v>
      </c>
      <c r="BR134" s="598">
        <f t="shared" si="28"/>
        <v>605.43130990415341</v>
      </c>
      <c r="BS134" s="598">
        <f t="shared" si="29"/>
        <v>119.80830670926518</v>
      </c>
    </row>
    <row r="135" spans="1:71" ht="29" hidden="1" x14ac:dyDescent="0.35">
      <c r="A135" s="580">
        <v>925</v>
      </c>
      <c r="B135" s="580" t="s">
        <v>489</v>
      </c>
      <c r="C135" s="593" t="s">
        <v>670</v>
      </c>
      <c r="D135" s="593" t="s">
        <v>671</v>
      </c>
      <c r="E135" s="580">
        <v>536</v>
      </c>
      <c r="F135" s="580">
        <v>23.2</v>
      </c>
      <c r="G135" s="580" t="s">
        <v>644</v>
      </c>
      <c r="H135" s="580">
        <v>24.3</v>
      </c>
      <c r="I135" s="580">
        <v>5.6</v>
      </c>
      <c r="J135" s="580">
        <v>11.6</v>
      </c>
      <c r="K135" s="580">
        <v>0</v>
      </c>
      <c r="L135" s="581">
        <v>4129000</v>
      </c>
      <c r="M135" s="581">
        <v>3988000</v>
      </c>
      <c r="N135" s="582">
        <f>Table35[[#This Row],[Total Income]]-Table35[[#This Row],[Total Expenditure]]</f>
        <v>141000</v>
      </c>
      <c r="O135" s="581">
        <v>478000</v>
      </c>
      <c r="Z135" s="581">
        <v>2895000</v>
      </c>
      <c r="AA135" s="595">
        <f>M135-Z135-Table35[[#This Row],[Maintenance &amp; Improvement]]-Table35[[#This Row],[Cleaning &amp; Caretaking]]-Table35[[#This Row],[Catering Supply]]</f>
        <v>656000</v>
      </c>
      <c r="AB135" s="581">
        <v>190000</v>
      </c>
      <c r="AC135" s="594">
        <v>190000</v>
      </c>
      <c r="AD135" s="594">
        <v>57000</v>
      </c>
      <c r="AE135" s="594">
        <v>116000</v>
      </c>
      <c r="AF135" s="594">
        <v>0</v>
      </c>
      <c r="AG135" s="581">
        <v>363000</v>
      </c>
      <c r="AH135" s="581">
        <v>190000</v>
      </c>
      <c r="AI135" s="596">
        <v>0</v>
      </c>
      <c r="AJ135" s="594">
        <v>190000</v>
      </c>
      <c r="AK135" s="594">
        <v>-14000</v>
      </c>
      <c r="AL135" s="594">
        <v>8000</v>
      </c>
      <c r="AM135" s="594">
        <v>69000</v>
      </c>
      <c r="AN135" s="594">
        <v>14000</v>
      </c>
      <c r="AO135" s="594">
        <v>25000</v>
      </c>
      <c r="AP135" s="581">
        <v>292000</v>
      </c>
      <c r="AQ135" s="594">
        <v>188000</v>
      </c>
      <c r="AR135" s="594">
        <v>79000</v>
      </c>
      <c r="AS135" s="594">
        <v>39000</v>
      </c>
      <c r="AT135" s="594">
        <v>95000</v>
      </c>
      <c r="AU135" s="581">
        <v>438000</v>
      </c>
      <c r="AV135" s="594">
        <v>188000</v>
      </c>
      <c r="AW135" s="594">
        <v>79000</v>
      </c>
      <c r="AX135" s="594">
        <v>39000</v>
      </c>
      <c r="AY135" s="581">
        <v>306000</v>
      </c>
      <c r="AZ135" s="594">
        <v>0</v>
      </c>
      <c r="BA135" s="594">
        <v>37000</v>
      </c>
      <c r="BB135" s="581">
        <v>37000</v>
      </c>
      <c r="BC135" s="597">
        <f>Table35[[#This Row],[Total Expenditure]]/Table35[[#This Row],[Number of pupils (FTE)]]</f>
        <v>7440.2985074626868</v>
      </c>
      <c r="BD135" s="598">
        <f>Table35[[#This Row],[Total Staff Costs]]/Table35[[#This Row],[Number of pupils (FTE)]]</f>
        <v>5401.1194029850749</v>
      </c>
      <c r="BE135" s="598">
        <f>Table35[[#This Row],[Teaching staff]]/Table35[[#This Row],[Number of teachers in academy (FTE)]]</f>
        <v>0</v>
      </c>
      <c r="BF135" s="599">
        <f>Table35[[#This Row],[Number of pupils (FTE)]]/Table35[[#This Row],[Number of teachers in academy (FTE)]]</f>
        <v>23.103448275862071</v>
      </c>
      <c r="BG135" s="600">
        <f t="shared" si="20"/>
        <v>1223.8805970149253</v>
      </c>
      <c r="BH135" s="598">
        <f>Table35[[#This Row],[Premises Costs]]/Table35[[#This Row],[Number of pupils (FTE)]]</f>
        <v>677.2388059701492</v>
      </c>
      <c r="BI135" s="598">
        <f>Table35[[#This Row],[Maintenance &amp; Improvement Costs]]/Table35[[#This Row],[Number of pupils (FTE)]]</f>
        <v>354.47761194029852</v>
      </c>
      <c r="BJ135" s="598" t="e">
        <f>#REF!/E135</f>
        <v>#REF!</v>
      </c>
      <c r="BK135" s="598">
        <f t="shared" si="21"/>
        <v>-26.119402985074625</v>
      </c>
      <c r="BL135" s="598">
        <f t="shared" si="22"/>
        <v>14.925373134328359</v>
      </c>
      <c r="BM135" s="598">
        <f t="shared" si="23"/>
        <v>128.73134328358208</v>
      </c>
      <c r="BN135" s="598">
        <f t="shared" si="24"/>
        <v>350.74626865671644</v>
      </c>
      <c r="BO135" s="598">
        <f t="shared" si="25"/>
        <v>147.38805970149255</v>
      </c>
      <c r="BP135" s="598">
        <f t="shared" si="26"/>
        <v>177.23880597014926</v>
      </c>
      <c r="BQ135" s="598">
        <f t="shared" si="27"/>
        <v>817.16417910447763</v>
      </c>
      <c r="BR135" s="598">
        <f t="shared" si="28"/>
        <v>570.8955223880597</v>
      </c>
      <c r="BS135" s="598">
        <f t="shared" si="29"/>
        <v>69.02985074626865</v>
      </c>
    </row>
    <row r="136" spans="1:71" ht="29" hidden="1" x14ac:dyDescent="0.35">
      <c r="A136" s="580">
        <v>925</v>
      </c>
      <c r="B136" s="580" t="s">
        <v>489</v>
      </c>
      <c r="C136" s="593" t="s">
        <v>672</v>
      </c>
      <c r="D136" s="593" t="s">
        <v>580</v>
      </c>
      <c r="E136" s="580">
        <v>616</v>
      </c>
      <c r="F136" s="580">
        <v>41.26</v>
      </c>
      <c r="G136" s="580" t="s">
        <v>644</v>
      </c>
      <c r="H136" s="580">
        <v>28.4</v>
      </c>
      <c r="I136" s="580">
        <v>7.3</v>
      </c>
      <c r="J136" s="580">
        <v>4.0999999999999996</v>
      </c>
      <c r="K136" s="580">
        <v>0</v>
      </c>
      <c r="L136" s="581">
        <v>5255000</v>
      </c>
      <c r="M136" s="581">
        <v>4397000</v>
      </c>
      <c r="N136" s="582">
        <f>Table35[[#This Row],[Total Income]]-Table35[[#This Row],[Total Expenditure]]</f>
        <v>858000</v>
      </c>
      <c r="O136" s="581">
        <v>0</v>
      </c>
      <c r="Z136" s="581">
        <v>3604000</v>
      </c>
      <c r="AA136" s="595">
        <f>M136-Z136-Table35[[#This Row],[Maintenance &amp; Improvement]]-Table35[[#This Row],[Cleaning &amp; Caretaking]]-Table35[[#This Row],[Catering Supply]]</f>
        <v>512000</v>
      </c>
      <c r="AB136" s="581">
        <v>48000</v>
      </c>
      <c r="AC136" s="594">
        <v>48000</v>
      </c>
      <c r="AD136" s="594">
        <v>20000</v>
      </c>
      <c r="AE136" s="594">
        <v>0</v>
      </c>
      <c r="AF136" s="594">
        <v>0</v>
      </c>
      <c r="AG136" s="581">
        <v>68000</v>
      </c>
      <c r="AH136" s="581">
        <v>213000</v>
      </c>
      <c r="AI136" s="596">
        <v>0</v>
      </c>
      <c r="AJ136" s="594">
        <v>213000</v>
      </c>
      <c r="AK136" s="594">
        <v>9000</v>
      </c>
      <c r="AL136" s="594">
        <v>22000</v>
      </c>
      <c r="AM136" s="594">
        <v>147000</v>
      </c>
      <c r="AN136" s="594">
        <v>0</v>
      </c>
      <c r="AO136" s="594">
        <v>34000</v>
      </c>
      <c r="AP136" s="581">
        <v>425000</v>
      </c>
      <c r="AQ136" s="594">
        <v>119000</v>
      </c>
      <c r="AR136" s="594">
        <v>28000</v>
      </c>
      <c r="AS136" s="594">
        <v>63000</v>
      </c>
      <c r="AT136" s="594">
        <v>59000</v>
      </c>
      <c r="AU136" s="581">
        <v>299000</v>
      </c>
      <c r="AV136" s="594">
        <v>119000</v>
      </c>
      <c r="AW136" s="594">
        <v>28000</v>
      </c>
      <c r="AX136" s="594">
        <v>63000</v>
      </c>
      <c r="AY136" s="581">
        <v>210000</v>
      </c>
      <c r="AZ136" s="594">
        <v>14000</v>
      </c>
      <c r="BA136" s="594">
        <v>16000</v>
      </c>
      <c r="BB136" s="581">
        <v>30000</v>
      </c>
      <c r="BC136" s="597">
        <f>Table35[[#This Row],[Total Expenditure]]/Table35[[#This Row],[Number of pupils (FTE)]]</f>
        <v>7137.9870129870133</v>
      </c>
      <c r="BD136" s="598">
        <f>Table35[[#This Row],[Total Staff Costs]]/Table35[[#This Row],[Number of pupils (FTE)]]</f>
        <v>5850.6493506493507</v>
      </c>
      <c r="BE136" s="598">
        <f>Table35[[#This Row],[Teaching staff]]/Table35[[#This Row],[Number of teachers in academy (FTE)]]</f>
        <v>0</v>
      </c>
      <c r="BF136" s="599">
        <f>Table35[[#This Row],[Number of pupils (FTE)]]/Table35[[#This Row],[Number of teachers in academy (FTE)]]</f>
        <v>14.929714008725158</v>
      </c>
      <c r="BG136" s="600">
        <f t="shared" si="20"/>
        <v>831.16883116883116</v>
      </c>
      <c r="BH136" s="598">
        <f>Table35[[#This Row],[Premises Costs]]/Table35[[#This Row],[Number of pupils (FTE)]]</f>
        <v>110.3896103896104</v>
      </c>
      <c r="BI136" s="598">
        <f>Table35[[#This Row],[Maintenance &amp; Improvement Costs]]/Table35[[#This Row],[Number of pupils (FTE)]]</f>
        <v>77.922077922077918</v>
      </c>
      <c r="BJ136" s="598" t="e">
        <f>#REF!/E136</f>
        <v>#REF!</v>
      </c>
      <c r="BK136" s="598">
        <f t="shared" si="21"/>
        <v>14.61038961038961</v>
      </c>
      <c r="BL136" s="598">
        <f t="shared" si="22"/>
        <v>35.714285714285715</v>
      </c>
      <c r="BM136" s="598">
        <f t="shared" si="23"/>
        <v>238.63636363636363</v>
      </c>
      <c r="BN136" s="598">
        <f t="shared" si="24"/>
        <v>193.18181818181819</v>
      </c>
      <c r="BO136" s="598">
        <f t="shared" si="25"/>
        <v>45.454545454545453</v>
      </c>
      <c r="BP136" s="598">
        <f t="shared" si="26"/>
        <v>95.779220779220779</v>
      </c>
      <c r="BQ136" s="598">
        <f t="shared" si="27"/>
        <v>485.38961038961037</v>
      </c>
      <c r="BR136" s="598">
        <f t="shared" si="28"/>
        <v>340.90909090909093</v>
      </c>
      <c r="BS136" s="598">
        <f t="shared" si="29"/>
        <v>48.701298701298704</v>
      </c>
    </row>
    <row r="137" spans="1:71" ht="29" hidden="1" x14ac:dyDescent="0.35">
      <c r="A137" s="580">
        <v>925</v>
      </c>
      <c r="B137" s="580" t="s">
        <v>489</v>
      </c>
      <c r="C137" s="593" t="s">
        <v>673</v>
      </c>
      <c r="D137" s="593" t="s">
        <v>643</v>
      </c>
      <c r="E137" s="580">
        <v>839</v>
      </c>
      <c r="F137" s="580">
        <v>46.8</v>
      </c>
      <c r="G137" s="580" t="s">
        <v>644</v>
      </c>
      <c r="H137" s="580">
        <v>31.5</v>
      </c>
      <c r="I137" s="580">
        <v>2.5</v>
      </c>
      <c r="J137" s="580">
        <v>12.5</v>
      </c>
      <c r="K137" s="580">
        <v>0</v>
      </c>
      <c r="L137" s="581">
        <v>6318000</v>
      </c>
      <c r="M137" s="581">
        <v>5561000</v>
      </c>
      <c r="N137" s="582">
        <f>Table35[[#This Row],[Total Income]]-Table35[[#This Row],[Total Expenditure]]</f>
        <v>757000</v>
      </c>
      <c r="O137" s="581">
        <v>0</v>
      </c>
      <c r="Z137" s="581">
        <v>3790000</v>
      </c>
      <c r="AA137" s="595">
        <f>M137-Z137-Table35[[#This Row],[Maintenance &amp; Improvement]]-Table35[[#This Row],[Cleaning &amp; Caretaking]]-Table35[[#This Row],[Catering Supply]]</f>
        <v>1124000</v>
      </c>
      <c r="AB137" s="581">
        <v>147000</v>
      </c>
      <c r="AC137" s="594">
        <v>147000</v>
      </c>
      <c r="AD137" s="594">
        <v>128000</v>
      </c>
      <c r="AE137" s="594">
        <v>91000</v>
      </c>
      <c r="AF137" s="594">
        <v>0</v>
      </c>
      <c r="AG137" s="581">
        <v>366000</v>
      </c>
      <c r="AH137" s="581">
        <v>489000</v>
      </c>
      <c r="AI137" s="596">
        <v>117000</v>
      </c>
      <c r="AJ137" s="594">
        <v>372000</v>
      </c>
      <c r="AK137" s="594">
        <v>6000</v>
      </c>
      <c r="AL137" s="594">
        <v>34000</v>
      </c>
      <c r="AM137" s="594">
        <v>200000</v>
      </c>
      <c r="AN137" s="594">
        <v>18000</v>
      </c>
      <c r="AO137" s="594">
        <v>17000</v>
      </c>
      <c r="AP137" s="581">
        <v>764000</v>
      </c>
      <c r="AQ137" s="594">
        <v>119000</v>
      </c>
      <c r="AR137" s="594">
        <v>0</v>
      </c>
      <c r="AS137" s="594">
        <v>69000</v>
      </c>
      <c r="AT137" s="594">
        <v>414000</v>
      </c>
      <c r="AU137" s="581">
        <v>641000</v>
      </c>
      <c r="AV137" s="594">
        <v>119000</v>
      </c>
      <c r="AW137" s="594">
        <v>0</v>
      </c>
      <c r="AX137" s="594">
        <v>69000</v>
      </c>
      <c r="AY137" s="581">
        <v>188000</v>
      </c>
      <c r="AZ137" s="594">
        <v>4000</v>
      </c>
      <c r="BA137" s="594">
        <v>35000</v>
      </c>
      <c r="BB137" s="581">
        <v>39000</v>
      </c>
      <c r="BC137" s="597">
        <f>Table35[[#This Row],[Total Expenditure]]/Table35[[#This Row],[Number of pupils (FTE)]]</f>
        <v>6628.1287246722286</v>
      </c>
      <c r="BD137" s="598">
        <f>Table35[[#This Row],[Total Staff Costs]]/Table35[[#This Row],[Number of pupils (FTE)]]</f>
        <v>4517.2824791418352</v>
      </c>
      <c r="BE137" s="598">
        <f>Table35[[#This Row],[Teaching staff]]/Table35[[#This Row],[Number of teachers in academy (FTE)]]</f>
        <v>0</v>
      </c>
      <c r="BF137" s="599">
        <f>Table35[[#This Row],[Number of pupils (FTE)]]/Table35[[#This Row],[Number of teachers in academy (FTE)]]</f>
        <v>17.927350427350429</v>
      </c>
      <c r="BG137" s="600">
        <f t="shared" si="20"/>
        <v>1339.6901072705602</v>
      </c>
      <c r="BH137" s="598">
        <f>Table35[[#This Row],[Premises Costs]]/Table35[[#This Row],[Number of pupils (FTE)]]</f>
        <v>436.23361144219308</v>
      </c>
      <c r="BI137" s="598">
        <f>Table35[[#This Row],[Maintenance &amp; Improvement Costs]]/Table35[[#This Row],[Number of pupils (FTE)]]</f>
        <v>175.20858164481527</v>
      </c>
      <c r="BJ137" s="598" t="e">
        <f>#REF!/E137</f>
        <v>#REF!</v>
      </c>
      <c r="BK137" s="598">
        <f t="shared" si="21"/>
        <v>7.1513706793802143</v>
      </c>
      <c r="BL137" s="598">
        <f t="shared" si="22"/>
        <v>40.524433849821214</v>
      </c>
      <c r="BM137" s="598">
        <f t="shared" si="23"/>
        <v>238.37902264600714</v>
      </c>
      <c r="BN137" s="598">
        <f t="shared" si="24"/>
        <v>141.83551847437425</v>
      </c>
      <c r="BO137" s="598">
        <f t="shared" si="25"/>
        <v>0</v>
      </c>
      <c r="BP137" s="598">
        <f t="shared" si="26"/>
        <v>493.44457687723479</v>
      </c>
      <c r="BQ137" s="598">
        <f t="shared" si="27"/>
        <v>764.00476758045295</v>
      </c>
      <c r="BR137" s="598">
        <f t="shared" si="28"/>
        <v>224.07628128724673</v>
      </c>
      <c r="BS137" s="598">
        <f t="shared" si="29"/>
        <v>46.483909415971397</v>
      </c>
    </row>
    <row r="138" spans="1:71" ht="43.5" hidden="1" x14ac:dyDescent="0.35">
      <c r="A138" s="580">
        <v>925</v>
      </c>
      <c r="B138" s="580" t="s">
        <v>489</v>
      </c>
      <c r="C138" s="593" t="s">
        <v>674</v>
      </c>
      <c r="D138" s="593" t="s">
        <v>568</v>
      </c>
      <c r="E138" s="580">
        <v>346</v>
      </c>
      <c r="F138" s="580">
        <v>24.8</v>
      </c>
      <c r="G138" s="580" t="s">
        <v>644</v>
      </c>
      <c r="H138" s="580">
        <v>51.7</v>
      </c>
      <c r="I138" s="580">
        <v>3.5</v>
      </c>
      <c r="J138" s="580">
        <v>28.6</v>
      </c>
      <c r="K138" s="580">
        <v>0</v>
      </c>
      <c r="L138" s="581">
        <v>2959000</v>
      </c>
      <c r="M138" s="581">
        <v>3078000</v>
      </c>
      <c r="N138" s="582">
        <f>Table35[[#This Row],[Total Income]]-Table35[[#This Row],[Total Expenditure]]</f>
        <v>-119000</v>
      </c>
      <c r="O138" s="581">
        <v>583000</v>
      </c>
      <c r="Z138" s="581">
        <v>2351000</v>
      </c>
      <c r="AA138" s="595">
        <f>M138-Z138-Table35[[#This Row],[Maintenance &amp; Improvement]]-Table35[[#This Row],[Cleaning &amp; Caretaking]]-Table35[[#This Row],[Catering Supply]]</f>
        <v>629000</v>
      </c>
      <c r="AB138" s="581">
        <v>34000</v>
      </c>
      <c r="AC138" s="594">
        <v>34000</v>
      </c>
      <c r="AD138" s="594">
        <v>4000</v>
      </c>
      <c r="AE138" s="594">
        <v>174000</v>
      </c>
      <c r="AF138" s="594">
        <v>0</v>
      </c>
      <c r="AG138" s="581">
        <v>212000</v>
      </c>
      <c r="AH138" s="581">
        <v>159000</v>
      </c>
      <c r="AI138" s="596">
        <v>99000</v>
      </c>
      <c r="AJ138" s="594">
        <v>60000</v>
      </c>
      <c r="AK138" s="594">
        <v>6000</v>
      </c>
      <c r="AL138" s="594">
        <v>11000</v>
      </c>
      <c r="AM138" s="594">
        <v>102000</v>
      </c>
      <c r="AN138" s="594">
        <v>11000</v>
      </c>
      <c r="AO138" s="594">
        <v>26000</v>
      </c>
      <c r="AP138" s="581">
        <v>315000</v>
      </c>
      <c r="AQ138" s="594">
        <v>38000</v>
      </c>
      <c r="AR138" s="594">
        <v>16000</v>
      </c>
      <c r="AS138" s="594">
        <v>20000</v>
      </c>
      <c r="AT138" s="594">
        <v>56000</v>
      </c>
      <c r="AU138" s="581">
        <v>200000</v>
      </c>
      <c r="AV138" s="594">
        <v>38000</v>
      </c>
      <c r="AW138" s="594">
        <v>16000</v>
      </c>
      <c r="AX138" s="594">
        <v>20000</v>
      </c>
      <c r="AY138" s="581">
        <v>74000</v>
      </c>
      <c r="AZ138" s="594">
        <v>59000</v>
      </c>
      <c r="BA138" s="594">
        <v>11000</v>
      </c>
      <c r="BB138" s="581">
        <v>70000</v>
      </c>
      <c r="BC138" s="597">
        <f>Table35[[#This Row],[Total Expenditure]]/Table35[[#This Row],[Number of pupils (FTE)]]</f>
        <v>8895.9537572254339</v>
      </c>
      <c r="BD138" s="598">
        <f>Table35[[#This Row],[Total Staff Costs]]/Table35[[#This Row],[Number of pupils (FTE)]]</f>
        <v>6794.7976878612717</v>
      </c>
      <c r="BE138" s="598">
        <f>Table35[[#This Row],[Teaching staff]]/Table35[[#This Row],[Number of teachers in academy (FTE)]]</f>
        <v>0</v>
      </c>
      <c r="BF138" s="599">
        <f>Table35[[#This Row],[Number of pupils (FTE)]]/Table35[[#This Row],[Number of teachers in academy (FTE)]]</f>
        <v>13.951612903225806</v>
      </c>
      <c r="BG138" s="600">
        <f t="shared" si="20"/>
        <v>1817.9190751445087</v>
      </c>
      <c r="BH138" s="598">
        <f>Table35[[#This Row],[Premises Costs]]/Table35[[#This Row],[Number of pupils (FTE)]]</f>
        <v>612.71676300578031</v>
      </c>
      <c r="BI138" s="598">
        <f>Table35[[#This Row],[Maintenance &amp; Improvement Costs]]/Table35[[#This Row],[Number of pupils (FTE)]]</f>
        <v>98.265895953757223</v>
      </c>
      <c r="BJ138" s="598" t="e">
        <f>#REF!/E138</f>
        <v>#REF!</v>
      </c>
      <c r="BK138" s="598">
        <f t="shared" si="21"/>
        <v>17.341040462427745</v>
      </c>
      <c r="BL138" s="598">
        <f t="shared" si="22"/>
        <v>31.791907514450866</v>
      </c>
      <c r="BM138" s="598">
        <f t="shared" si="23"/>
        <v>294.7976878612717</v>
      </c>
      <c r="BN138" s="598">
        <f t="shared" si="24"/>
        <v>109.82658959537572</v>
      </c>
      <c r="BO138" s="598">
        <f t="shared" si="25"/>
        <v>46.24277456647399</v>
      </c>
      <c r="BP138" s="598">
        <f t="shared" si="26"/>
        <v>161.84971098265896</v>
      </c>
      <c r="BQ138" s="598">
        <f t="shared" si="27"/>
        <v>578.03468208092488</v>
      </c>
      <c r="BR138" s="598">
        <f t="shared" si="28"/>
        <v>213.87283236994219</v>
      </c>
      <c r="BS138" s="598">
        <f t="shared" si="29"/>
        <v>202.3121387283237</v>
      </c>
    </row>
    <row r="139" spans="1:71" ht="29" hidden="1" x14ac:dyDescent="0.35">
      <c r="A139" s="580">
        <v>925</v>
      </c>
      <c r="B139" s="580" t="s">
        <v>489</v>
      </c>
      <c r="C139" s="593" t="s">
        <v>675</v>
      </c>
      <c r="D139" s="593" t="s">
        <v>643</v>
      </c>
      <c r="E139" s="580">
        <v>629</v>
      </c>
      <c r="F139" s="580">
        <v>29.8</v>
      </c>
      <c r="G139" s="580" t="s">
        <v>644</v>
      </c>
      <c r="H139" s="580">
        <v>30.5</v>
      </c>
      <c r="I139" s="580">
        <v>4.5999999999999996</v>
      </c>
      <c r="J139" s="580">
        <v>14.8</v>
      </c>
      <c r="K139" s="580">
        <v>0</v>
      </c>
      <c r="L139" s="581">
        <v>4973000</v>
      </c>
      <c r="M139" s="581">
        <v>4333000</v>
      </c>
      <c r="N139" s="582">
        <f>Table35[[#This Row],[Total Income]]-Table35[[#This Row],[Total Expenditure]]</f>
        <v>640000</v>
      </c>
      <c r="O139" s="581">
        <v>0</v>
      </c>
      <c r="Z139" s="581">
        <v>3104000</v>
      </c>
      <c r="AA139" s="595">
        <f>M139-Z139-Table35[[#This Row],[Maintenance &amp; Improvement]]-Table35[[#This Row],[Cleaning &amp; Caretaking]]-Table35[[#This Row],[Catering Supply]]</f>
        <v>747000</v>
      </c>
      <c r="AB139" s="581">
        <v>116000</v>
      </c>
      <c r="AC139" s="594">
        <v>116000</v>
      </c>
      <c r="AD139" s="594">
        <v>91000</v>
      </c>
      <c r="AE139" s="594">
        <v>134000</v>
      </c>
      <c r="AF139" s="594">
        <v>0</v>
      </c>
      <c r="AG139" s="581">
        <v>341000</v>
      </c>
      <c r="AH139" s="581">
        <v>368000</v>
      </c>
      <c r="AI139" s="596">
        <v>93000</v>
      </c>
      <c r="AJ139" s="594">
        <v>275000</v>
      </c>
      <c r="AK139" s="594">
        <v>7000</v>
      </c>
      <c r="AL139" s="594">
        <v>18000</v>
      </c>
      <c r="AM139" s="594">
        <v>78000</v>
      </c>
      <c r="AN139" s="594">
        <v>25000</v>
      </c>
      <c r="AO139" s="594">
        <v>42000</v>
      </c>
      <c r="AP139" s="581">
        <v>538000</v>
      </c>
      <c r="AQ139" s="594">
        <v>105000</v>
      </c>
      <c r="AR139" s="594">
        <v>0</v>
      </c>
      <c r="AS139" s="594">
        <v>54000</v>
      </c>
      <c r="AT139" s="594">
        <v>178000</v>
      </c>
      <c r="AU139" s="581">
        <v>350000</v>
      </c>
      <c r="AV139" s="594">
        <v>105000</v>
      </c>
      <c r="AW139" s="594">
        <v>0</v>
      </c>
      <c r="AX139" s="594">
        <v>54000</v>
      </c>
      <c r="AY139" s="581">
        <v>159000</v>
      </c>
      <c r="AZ139" s="594">
        <v>0</v>
      </c>
      <c r="BA139" s="594">
        <v>13000</v>
      </c>
      <c r="BB139" s="581">
        <v>13000</v>
      </c>
      <c r="BC139" s="597">
        <f>Table35[[#This Row],[Total Expenditure]]/Table35[[#This Row],[Number of pupils (FTE)]]</f>
        <v>6888.7122416534185</v>
      </c>
      <c r="BD139" s="598">
        <f>Table35[[#This Row],[Total Staff Costs]]/Table35[[#This Row],[Number of pupils (FTE)]]</f>
        <v>4934.8171701112879</v>
      </c>
      <c r="BE139" s="598">
        <f>Table35[[#This Row],[Teaching staff]]/Table35[[#This Row],[Number of teachers in academy (FTE)]]</f>
        <v>0</v>
      </c>
      <c r="BF139" s="599">
        <f>Table35[[#This Row],[Number of pupils (FTE)]]/Table35[[#This Row],[Number of teachers in academy (FTE)]]</f>
        <v>21.107382550335569</v>
      </c>
      <c r="BG139" s="600">
        <f t="shared" si="20"/>
        <v>1187.5993640699523</v>
      </c>
      <c r="BH139" s="598">
        <f>Table35[[#This Row],[Premises Costs]]/Table35[[#This Row],[Number of pupils (FTE)]]</f>
        <v>542.13036565977745</v>
      </c>
      <c r="BI139" s="598">
        <f>Table35[[#This Row],[Maintenance &amp; Improvement Costs]]/Table35[[#This Row],[Number of pupils (FTE)]]</f>
        <v>184.41971383147853</v>
      </c>
      <c r="BJ139" s="598" t="e">
        <f>#REF!/E139</f>
        <v>#REF!</v>
      </c>
      <c r="BK139" s="598">
        <f t="shared" si="21"/>
        <v>11.128775834658187</v>
      </c>
      <c r="BL139" s="598">
        <f t="shared" si="22"/>
        <v>28.616852146263913</v>
      </c>
      <c r="BM139" s="598">
        <f t="shared" si="23"/>
        <v>124.00635930047694</v>
      </c>
      <c r="BN139" s="598">
        <f t="shared" si="24"/>
        <v>166.93163751987282</v>
      </c>
      <c r="BO139" s="598">
        <f t="shared" si="25"/>
        <v>0</v>
      </c>
      <c r="BP139" s="598">
        <f t="shared" si="26"/>
        <v>282.98887122416534</v>
      </c>
      <c r="BQ139" s="598">
        <f t="shared" si="27"/>
        <v>556.43879173290941</v>
      </c>
      <c r="BR139" s="598">
        <f t="shared" si="28"/>
        <v>252.78219395866455</v>
      </c>
      <c r="BS139" s="598">
        <f t="shared" si="29"/>
        <v>20.66772655007949</v>
      </c>
    </row>
    <row r="140" spans="1:71" hidden="1" x14ac:dyDescent="0.35">
      <c r="A140" s="580">
        <v>925</v>
      </c>
      <c r="B140" s="580" t="s">
        <v>489</v>
      </c>
      <c r="C140" s="593" t="s">
        <v>676</v>
      </c>
      <c r="D140" s="593" t="s">
        <v>677</v>
      </c>
      <c r="E140" s="580">
        <v>680</v>
      </c>
      <c r="F140" s="580" t="s">
        <v>539</v>
      </c>
      <c r="G140" s="580" t="s">
        <v>644</v>
      </c>
      <c r="H140" s="580">
        <v>40.299999999999997</v>
      </c>
      <c r="I140" s="580">
        <v>5.4</v>
      </c>
      <c r="J140" s="580">
        <v>10.7</v>
      </c>
      <c r="K140" s="580">
        <v>0</v>
      </c>
      <c r="L140" s="581">
        <v>4380000</v>
      </c>
      <c r="M140" s="581">
        <v>4331000</v>
      </c>
      <c r="N140" s="582">
        <f>Table35[[#This Row],[Total Income]]-Table35[[#This Row],[Total Expenditure]]</f>
        <v>49000</v>
      </c>
      <c r="O140" s="581">
        <v>200000</v>
      </c>
      <c r="Z140" s="581">
        <v>3145000</v>
      </c>
      <c r="AA140" s="595">
        <f>M140-Z140-Table35[[#This Row],[Maintenance &amp; Improvement]]-Table35[[#This Row],[Cleaning &amp; Caretaking]]-Table35[[#This Row],[Catering Supply]]</f>
        <v>950000</v>
      </c>
      <c r="AB140" s="581">
        <v>28000</v>
      </c>
      <c r="AC140" s="594">
        <v>28000</v>
      </c>
      <c r="AD140" s="594">
        <v>62000</v>
      </c>
      <c r="AE140" s="594">
        <v>145000</v>
      </c>
      <c r="AF140" s="594">
        <v>0</v>
      </c>
      <c r="AG140" s="581">
        <v>235000</v>
      </c>
      <c r="AH140" s="581">
        <v>191000</v>
      </c>
      <c r="AI140" s="596">
        <v>45000</v>
      </c>
      <c r="AJ140" s="594">
        <v>146000</v>
      </c>
      <c r="AK140" s="594">
        <v>10000</v>
      </c>
      <c r="AL140" s="594">
        <v>17000</v>
      </c>
      <c r="AM140" s="594">
        <v>159000</v>
      </c>
      <c r="AN140" s="594">
        <v>14000</v>
      </c>
      <c r="AO140" s="594">
        <v>90000</v>
      </c>
      <c r="AP140" s="581">
        <v>481000</v>
      </c>
      <c r="AQ140" s="594">
        <v>194000</v>
      </c>
      <c r="AR140" s="594">
        <v>14000</v>
      </c>
      <c r="AS140" s="594">
        <v>48000</v>
      </c>
      <c r="AT140" s="594">
        <v>118000</v>
      </c>
      <c r="AU140" s="581">
        <v>431000</v>
      </c>
      <c r="AV140" s="594">
        <v>194000</v>
      </c>
      <c r="AW140" s="594">
        <v>14000</v>
      </c>
      <c r="AX140" s="594">
        <v>48000</v>
      </c>
      <c r="AY140" s="581">
        <v>256000</v>
      </c>
      <c r="AZ140" s="594">
        <v>12000</v>
      </c>
      <c r="BA140" s="594">
        <v>45000</v>
      </c>
      <c r="BB140" s="581">
        <v>57000</v>
      </c>
      <c r="BC140" s="597">
        <f>Table35[[#This Row],[Total Expenditure]]/Table35[[#This Row],[Number of pupils (FTE)]]</f>
        <v>6369.1176470588234</v>
      </c>
      <c r="BD140" s="598">
        <f>Table35[[#This Row],[Total Staff Costs]]/Table35[[#This Row],[Number of pupils (FTE)]]</f>
        <v>4625</v>
      </c>
      <c r="BE140" s="598" t="e">
        <f>Table35[[#This Row],[Teaching staff]]/Table35[[#This Row],[Number of teachers in academy (FTE)]]</f>
        <v>#VALUE!</v>
      </c>
      <c r="BF140" s="599" t="e">
        <f>Table35[[#This Row],[Number of pupils (FTE)]]/Table35[[#This Row],[Number of teachers in academy (FTE)]]</f>
        <v>#VALUE!</v>
      </c>
      <c r="BG140" s="600">
        <f t="shared" si="20"/>
        <v>1397.0588235294117</v>
      </c>
      <c r="BH140" s="598">
        <f>Table35[[#This Row],[Premises Costs]]/Table35[[#This Row],[Number of pupils (FTE)]]</f>
        <v>345.58823529411762</v>
      </c>
      <c r="BI140" s="598">
        <f>Table35[[#This Row],[Maintenance &amp; Improvement Costs]]/Table35[[#This Row],[Number of pupils (FTE)]]</f>
        <v>41.176470588235297</v>
      </c>
      <c r="BJ140" s="598" t="e">
        <f>#REF!/E140</f>
        <v>#REF!</v>
      </c>
      <c r="BK140" s="598">
        <f t="shared" si="21"/>
        <v>14.705882352941176</v>
      </c>
      <c r="BL140" s="598">
        <f t="shared" si="22"/>
        <v>25</v>
      </c>
      <c r="BM140" s="598">
        <f t="shared" si="23"/>
        <v>233.8235294117647</v>
      </c>
      <c r="BN140" s="598">
        <f t="shared" si="24"/>
        <v>285.29411764705884</v>
      </c>
      <c r="BO140" s="598">
        <f t="shared" si="25"/>
        <v>20.588235294117649</v>
      </c>
      <c r="BP140" s="598">
        <f t="shared" si="26"/>
        <v>173.52941176470588</v>
      </c>
      <c r="BQ140" s="598">
        <f t="shared" si="27"/>
        <v>633.82352941176475</v>
      </c>
      <c r="BR140" s="598">
        <f t="shared" si="28"/>
        <v>376.47058823529414</v>
      </c>
      <c r="BS140" s="598">
        <f t="shared" si="29"/>
        <v>83.82352941176471</v>
      </c>
    </row>
    <row r="141" spans="1:71" hidden="1" x14ac:dyDescent="0.35">
      <c r="A141" s="580">
        <v>925</v>
      </c>
      <c r="B141" s="580" t="s">
        <v>489</v>
      </c>
      <c r="C141" s="593" t="s">
        <v>678</v>
      </c>
      <c r="D141" s="593" t="s">
        <v>550</v>
      </c>
      <c r="E141" s="580">
        <v>583</v>
      </c>
      <c r="F141" s="580">
        <v>34.200000000000003</v>
      </c>
      <c r="G141" s="580" t="s">
        <v>644</v>
      </c>
      <c r="H141" s="580">
        <v>35.5</v>
      </c>
      <c r="I141" s="580">
        <v>5.7</v>
      </c>
      <c r="J141" s="580">
        <v>12.3</v>
      </c>
      <c r="K141" s="580">
        <v>0</v>
      </c>
      <c r="L141" s="581">
        <v>4852000</v>
      </c>
      <c r="M141" s="581">
        <v>4342000</v>
      </c>
      <c r="N141" s="582">
        <f>Table35[[#This Row],[Total Income]]-Table35[[#This Row],[Total Expenditure]]</f>
        <v>510000</v>
      </c>
      <c r="O141" s="581">
        <v>614000</v>
      </c>
      <c r="Z141" s="581">
        <v>3328000</v>
      </c>
      <c r="AA141" s="595">
        <f>M141-Z141-Table35[[#This Row],[Maintenance &amp; Improvement]]-Table35[[#This Row],[Cleaning &amp; Caretaking]]-Table35[[#This Row],[Catering Supply]]</f>
        <v>791000</v>
      </c>
      <c r="AB141" s="581">
        <v>93000</v>
      </c>
      <c r="AC141" s="594">
        <v>93000</v>
      </c>
      <c r="AD141" s="594">
        <v>63000</v>
      </c>
      <c r="AE141" s="594">
        <v>133000</v>
      </c>
      <c r="AF141" s="594">
        <v>0</v>
      </c>
      <c r="AG141" s="581">
        <v>289000</v>
      </c>
      <c r="AH141" s="581">
        <v>67000</v>
      </c>
      <c r="AI141" s="596">
        <v>0</v>
      </c>
      <c r="AJ141" s="594">
        <v>67000</v>
      </c>
      <c r="AK141" s="594">
        <v>5000</v>
      </c>
      <c r="AL141" s="594">
        <v>19000</v>
      </c>
      <c r="AM141" s="594">
        <v>121000</v>
      </c>
      <c r="AN141" s="594">
        <v>14000</v>
      </c>
      <c r="AO141" s="594">
        <v>26000</v>
      </c>
      <c r="AP141" s="581">
        <v>252000</v>
      </c>
      <c r="AQ141" s="594">
        <v>245000</v>
      </c>
      <c r="AR141" s="594">
        <v>14000</v>
      </c>
      <c r="AS141" s="594">
        <v>82000</v>
      </c>
      <c r="AT141" s="594">
        <v>122000</v>
      </c>
      <c r="AU141" s="581">
        <v>473000</v>
      </c>
      <c r="AV141" s="594">
        <v>245000</v>
      </c>
      <c r="AW141" s="594">
        <v>14000</v>
      </c>
      <c r="AX141" s="594">
        <v>82000</v>
      </c>
      <c r="AY141" s="581">
        <v>341000</v>
      </c>
      <c r="AZ141" s="594">
        <v>0</v>
      </c>
      <c r="BA141" s="594">
        <v>10000</v>
      </c>
      <c r="BB141" s="581">
        <v>10000</v>
      </c>
      <c r="BC141" s="597">
        <f>Table35[[#This Row],[Total Expenditure]]/Table35[[#This Row],[Number of pupils (FTE)]]</f>
        <v>7447.6843910806174</v>
      </c>
      <c r="BD141" s="598">
        <f>Table35[[#This Row],[Total Staff Costs]]/Table35[[#This Row],[Number of pupils (FTE)]]</f>
        <v>5708.4048027444251</v>
      </c>
      <c r="BE141" s="598">
        <f>Table35[[#This Row],[Teaching staff]]/Table35[[#This Row],[Number of teachers in academy (FTE)]]</f>
        <v>0</v>
      </c>
      <c r="BF141" s="599">
        <f>Table35[[#This Row],[Number of pupils (FTE)]]/Table35[[#This Row],[Number of teachers in academy (FTE)]]</f>
        <v>17.046783625730992</v>
      </c>
      <c r="BG141" s="600">
        <f t="shared" si="20"/>
        <v>1356.7753001715266</v>
      </c>
      <c r="BH141" s="598">
        <f>Table35[[#This Row],[Premises Costs]]/Table35[[#This Row],[Number of pupils (FTE)]]</f>
        <v>495.71183533447686</v>
      </c>
      <c r="BI141" s="598">
        <f>Table35[[#This Row],[Maintenance &amp; Improvement Costs]]/Table35[[#This Row],[Number of pupils (FTE)]]</f>
        <v>159.51972555746141</v>
      </c>
      <c r="BJ141" s="598" t="e">
        <f>#REF!/E141</f>
        <v>#REF!</v>
      </c>
      <c r="BK141" s="598">
        <f t="shared" si="21"/>
        <v>8.5763293310463116</v>
      </c>
      <c r="BL141" s="598">
        <f t="shared" si="22"/>
        <v>32.590051457975989</v>
      </c>
      <c r="BM141" s="598">
        <f t="shared" si="23"/>
        <v>207.54716981132074</v>
      </c>
      <c r="BN141" s="598">
        <f t="shared" si="24"/>
        <v>420.24013722126932</v>
      </c>
      <c r="BO141" s="598">
        <f t="shared" si="25"/>
        <v>24.013722126929675</v>
      </c>
      <c r="BP141" s="598">
        <f t="shared" si="26"/>
        <v>209.26243567753002</v>
      </c>
      <c r="BQ141" s="598">
        <f t="shared" si="27"/>
        <v>811.32075471698113</v>
      </c>
      <c r="BR141" s="598">
        <f t="shared" si="28"/>
        <v>584.90566037735846</v>
      </c>
      <c r="BS141" s="598">
        <f t="shared" si="29"/>
        <v>17.152658662092623</v>
      </c>
    </row>
    <row r="142" spans="1:71" ht="29" hidden="1" x14ac:dyDescent="0.35">
      <c r="A142" s="580">
        <v>925</v>
      </c>
      <c r="B142" s="580" t="s">
        <v>489</v>
      </c>
      <c r="C142" s="593" t="s">
        <v>679</v>
      </c>
      <c r="D142" s="593" t="s">
        <v>508</v>
      </c>
      <c r="E142" s="580">
        <v>1323</v>
      </c>
      <c r="F142" s="580">
        <v>79.739999999999995</v>
      </c>
      <c r="G142" s="580" t="s">
        <v>644</v>
      </c>
      <c r="H142" s="580">
        <v>32.799999999999997</v>
      </c>
      <c r="I142" s="580">
        <v>3.7</v>
      </c>
      <c r="J142" s="580">
        <v>20.2</v>
      </c>
      <c r="K142" s="580">
        <v>0</v>
      </c>
      <c r="L142" s="581">
        <v>11988000</v>
      </c>
      <c r="M142" s="581">
        <v>10891000</v>
      </c>
      <c r="N142" s="582">
        <f>Table35[[#This Row],[Total Income]]-Table35[[#This Row],[Total Expenditure]]</f>
        <v>1097000</v>
      </c>
      <c r="O142" s="581">
        <v>591000</v>
      </c>
      <c r="Z142" s="581">
        <v>8522000</v>
      </c>
      <c r="AA142" s="595">
        <f>M142-Z142-Table35[[#This Row],[Maintenance &amp; Improvement]]-Table35[[#This Row],[Cleaning &amp; Caretaking]]-Table35[[#This Row],[Catering Supply]]</f>
        <v>1561000</v>
      </c>
      <c r="AB142" s="581">
        <v>321000</v>
      </c>
      <c r="AC142" s="594">
        <v>321000</v>
      </c>
      <c r="AD142" s="594">
        <v>186000</v>
      </c>
      <c r="AE142" s="594">
        <v>187000</v>
      </c>
      <c r="AF142" s="594">
        <v>0</v>
      </c>
      <c r="AG142" s="581">
        <v>694000</v>
      </c>
      <c r="AH142" s="581">
        <v>301000</v>
      </c>
      <c r="AI142" s="596">
        <v>0</v>
      </c>
      <c r="AJ142" s="594">
        <v>301000</v>
      </c>
      <c r="AK142" s="594">
        <v>5000</v>
      </c>
      <c r="AL142" s="594">
        <v>26000</v>
      </c>
      <c r="AM142" s="594">
        <v>314000</v>
      </c>
      <c r="AN142" s="594">
        <v>33000</v>
      </c>
      <c r="AO142" s="594">
        <v>88000</v>
      </c>
      <c r="AP142" s="581">
        <v>767000</v>
      </c>
      <c r="AQ142" s="594">
        <v>348000</v>
      </c>
      <c r="AR142" s="594">
        <v>243000</v>
      </c>
      <c r="AS142" s="594">
        <v>145000</v>
      </c>
      <c r="AT142" s="594">
        <v>112000</v>
      </c>
      <c r="AU142" s="581">
        <v>906000</v>
      </c>
      <c r="AV142" s="594">
        <v>348000</v>
      </c>
      <c r="AW142" s="594">
        <v>243000</v>
      </c>
      <c r="AX142" s="594">
        <v>145000</v>
      </c>
      <c r="AY142" s="581">
        <v>736000</v>
      </c>
      <c r="AZ142" s="594">
        <v>40000</v>
      </c>
      <c r="BA142" s="594">
        <v>18000</v>
      </c>
      <c r="BB142" s="581">
        <v>58000</v>
      </c>
      <c r="BC142" s="597">
        <f>Table35[[#This Row],[Total Expenditure]]/Table35[[#This Row],[Number of pupils (FTE)]]</f>
        <v>8232.0483749055184</v>
      </c>
      <c r="BD142" s="598">
        <f>Table35[[#This Row],[Total Staff Costs]]/Table35[[#This Row],[Number of pupils (FTE)]]</f>
        <v>6441.4210128495843</v>
      </c>
      <c r="BE142" s="598">
        <f>Table35[[#This Row],[Teaching staff]]/Table35[[#This Row],[Number of teachers in academy (FTE)]]</f>
        <v>0</v>
      </c>
      <c r="BF142" s="599">
        <f>Table35[[#This Row],[Number of pupils (FTE)]]/Table35[[#This Row],[Number of teachers in academy (FTE)]]</f>
        <v>16.591422121896162</v>
      </c>
      <c r="BG142" s="600">
        <f t="shared" si="20"/>
        <v>1179.8941798941798</v>
      </c>
      <c r="BH142" s="598">
        <f>Table35[[#This Row],[Premises Costs]]/Table35[[#This Row],[Number of pupils (FTE)]]</f>
        <v>524.56538170823887</v>
      </c>
      <c r="BI142" s="598">
        <f>Table35[[#This Row],[Maintenance &amp; Improvement Costs]]/Table35[[#This Row],[Number of pupils (FTE)]]</f>
        <v>242.63038548752834</v>
      </c>
      <c r="BJ142" s="598" t="e">
        <f>#REF!/E142</f>
        <v>#REF!</v>
      </c>
      <c r="BK142" s="598">
        <f t="shared" si="21"/>
        <v>3.7792894935752077</v>
      </c>
      <c r="BL142" s="598">
        <f t="shared" si="22"/>
        <v>19.652305366591079</v>
      </c>
      <c r="BM142" s="598">
        <f t="shared" si="23"/>
        <v>237.33938019652305</v>
      </c>
      <c r="BN142" s="598">
        <f t="shared" si="24"/>
        <v>263.03854875283446</v>
      </c>
      <c r="BO142" s="598">
        <f t="shared" si="25"/>
        <v>183.67346938775509</v>
      </c>
      <c r="BP142" s="598">
        <f t="shared" si="26"/>
        <v>84.656084656084658</v>
      </c>
      <c r="BQ142" s="598">
        <f t="shared" si="27"/>
        <v>684.80725623582771</v>
      </c>
      <c r="BR142" s="598">
        <f t="shared" si="28"/>
        <v>556.31141345427056</v>
      </c>
      <c r="BS142" s="598">
        <f t="shared" si="29"/>
        <v>43.839758125472414</v>
      </c>
    </row>
    <row r="143" spans="1:71" ht="29" hidden="1" x14ac:dyDescent="0.35">
      <c r="A143" s="580">
        <v>925</v>
      </c>
      <c r="B143" s="580" t="s">
        <v>489</v>
      </c>
      <c r="C143" s="593" t="s">
        <v>680</v>
      </c>
      <c r="D143" s="593" t="s">
        <v>681</v>
      </c>
      <c r="E143" s="580">
        <v>1726</v>
      </c>
      <c r="F143" s="580">
        <v>96.68</v>
      </c>
      <c r="G143" s="580" t="s">
        <v>644</v>
      </c>
      <c r="H143" s="580">
        <v>5.6</v>
      </c>
      <c r="I143" s="580">
        <v>0.5</v>
      </c>
      <c r="J143" s="580">
        <v>9.9</v>
      </c>
      <c r="K143" s="580">
        <v>523</v>
      </c>
      <c r="L143" s="581">
        <v>10858000</v>
      </c>
      <c r="M143" s="581">
        <v>10717000</v>
      </c>
      <c r="N143" s="582">
        <f>Table35[[#This Row],[Total Income]]-Table35[[#This Row],[Total Expenditure]]</f>
        <v>141000</v>
      </c>
      <c r="O143" s="581">
        <v>846000</v>
      </c>
      <c r="Z143" s="581">
        <v>8194000</v>
      </c>
      <c r="AA143" s="595">
        <f>M143-Z143-Table35[[#This Row],[Maintenance &amp; Improvement]]-Table35[[#This Row],[Cleaning &amp; Caretaking]]-Table35[[#This Row],[Catering Supply]]</f>
        <v>2137000</v>
      </c>
      <c r="AB143" s="581">
        <v>145000</v>
      </c>
      <c r="AC143" s="594">
        <v>145000</v>
      </c>
      <c r="AD143" s="594">
        <v>192000</v>
      </c>
      <c r="AE143" s="594">
        <v>161000</v>
      </c>
      <c r="AF143" s="594">
        <v>0</v>
      </c>
      <c r="AG143" s="581">
        <v>498000</v>
      </c>
      <c r="AH143" s="581">
        <v>49000</v>
      </c>
      <c r="AI143" s="596">
        <v>0</v>
      </c>
      <c r="AJ143" s="594">
        <v>49000</v>
      </c>
      <c r="AK143" s="594">
        <v>25000</v>
      </c>
      <c r="AL143" s="594">
        <v>46000</v>
      </c>
      <c r="AM143" s="594">
        <v>193000</v>
      </c>
      <c r="AN143" s="594">
        <v>48000</v>
      </c>
      <c r="AO143" s="594">
        <v>62000</v>
      </c>
      <c r="AP143" s="581">
        <v>423000</v>
      </c>
      <c r="AQ143" s="594">
        <v>727000</v>
      </c>
      <c r="AR143" s="594">
        <v>77000</v>
      </c>
      <c r="AS143" s="594">
        <v>226000</v>
      </c>
      <c r="AT143" s="594">
        <v>453000</v>
      </c>
      <c r="AU143" s="581">
        <v>1590000</v>
      </c>
      <c r="AV143" s="594">
        <v>727000</v>
      </c>
      <c r="AW143" s="594">
        <v>77000</v>
      </c>
      <c r="AX143" s="594">
        <v>226000</v>
      </c>
      <c r="AY143" s="581">
        <v>1030000</v>
      </c>
      <c r="AZ143" s="594">
        <v>0</v>
      </c>
      <c r="BA143" s="594">
        <v>107000</v>
      </c>
      <c r="BB143" s="581">
        <v>107000</v>
      </c>
      <c r="BC143" s="597">
        <f>Table35[[#This Row],[Total Expenditure]]/Table35[[#This Row],[Number of pupils (FTE)]]</f>
        <v>6209.154113557358</v>
      </c>
      <c r="BD143" s="598">
        <f>Table35[[#This Row],[Total Staff Costs]]/Table35[[#This Row],[Number of pupils (FTE)]]</f>
        <v>4747.3928157589799</v>
      </c>
      <c r="BE143" s="598">
        <f>Table35[[#This Row],[Teaching staff]]/Table35[[#This Row],[Number of teachers in academy (FTE)]]</f>
        <v>0</v>
      </c>
      <c r="BF143" s="599">
        <f>Table35[[#This Row],[Number of pupils (FTE)]]/Table35[[#This Row],[Number of teachers in academy (FTE)]]</f>
        <v>17.852709971038475</v>
      </c>
      <c r="BG143" s="600">
        <f t="shared" si="20"/>
        <v>1238.1228273464658</v>
      </c>
      <c r="BH143" s="598">
        <f>Table35[[#This Row],[Premises Costs]]/Table35[[#This Row],[Number of pupils (FTE)]]</f>
        <v>288.52838933951335</v>
      </c>
      <c r="BI143" s="598">
        <f>Table35[[#This Row],[Maintenance &amp; Improvement Costs]]/Table35[[#This Row],[Number of pupils (FTE)]]</f>
        <v>84.009269988412512</v>
      </c>
      <c r="BJ143" s="598" t="e">
        <f>#REF!/E143</f>
        <v>#REF!</v>
      </c>
      <c r="BK143" s="598">
        <f t="shared" si="21"/>
        <v>14.484356894553882</v>
      </c>
      <c r="BL143" s="598">
        <f t="shared" si="22"/>
        <v>26.651216685979144</v>
      </c>
      <c r="BM143" s="598">
        <f t="shared" si="23"/>
        <v>111.81923522595596</v>
      </c>
      <c r="BN143" s="598">
        <f t="shared" si="24"/>
        <v>421.20509849362691</v>
      </c>
      <c r="BO143" s="598">
        <f t="shared" si="25"/>
        <v>44.611819235225958</v>
      </c>
      <c r="BP143" s="598">
        <f t="shared" si="26"/>
        <v>262.45654692931635</v>
      </c>
      <c r="BQ143" s="598">
        <f t="shared" si="27"/>
        <v>921.20509849362691</v>
      </c>
      <c r="BR143" s="598">
        <f t="shared" si="28"/>
        <v>596.75550405561989</v>
      </c>
      <c r="BS143" s="598">
        <f t="shared" si="29"/>
        <v>61.993047508690616</v>
      </c>
    </row>
    <row r="144" spans="1:71" ht="29" hidden="1" x14ac:dyDescent="0.35">
      <c r="A144" s="580">
        <v>925</v>
      </c>
      <c r="B144" s="580" t="s">
        <v>489</v>
      </c>
      <c r="C144" s="593" t="s">
        <v>682</v>
      </c>
      <c r="D144" s="593" t="s">
        <v>683</v>
      </c>
      <c r="E144" s="580">
        <v>1040</v>
      </c>
      <c r="F144" s="580">
        <v>59.2</v>
      </c>
      <c r="G144" s="580" t="s">
        <v>644</v>
      </c>
      <c r="H144" s="580">
        <v>31.3</v>
      </c>
      <c r="I144" s="580">
        <v>3.6</v>
      </c>
      <c r="J144" s="580">
        <v>21.7</v>
      </c>
      <c r="K144" s="580">
        <v>111</v>
      </c>
      <c r="L144" s="581">
        <v>7415000</v>
      </c>
      <c r="M144" s="581">
        <v>7571000</v>
      </c>
      <c r="N144" s="582">
        <f>Table35[[#This Row],[Total Income]]-Table35[[#This Row],[Total Expenditure]]</f>
        <v>-156000</v>
      </c>
      <c r="O144" s="581">
        <v>959000</v>
      </c>
      <c r="Z144" s="581">
        <v>5857000</v>
      </c>
      <c r="AA144" s="595">
        <f>M144-Z144-Table35[[#This Row],[Maintenance &amp; Improvement]]-Table35[[#This Row],[Cleaning &amp; Caretaking]]-Table35[[#This Row],[Catering Supply]]</f>
        <v>1324000</v>
      </c>
      <c r="AB144" s="581">
        <v>215000</v>
      </c>
      <c r="AC144" s="594">
        <v>215000</v>
      </c>
      <c r="AD144" s="594">
        <v>175000</v>
      </c>
      <c r="AE144" s="594">
        <v>137000</v>
      </c>
      <c r="AF144" s="594">
        <v>0</v>
      </c>
      <c r="AG144" s="581">
        <v>527000</v>
      </c>
      <c r="AH144" s="581">
        <v>0</v>
      </c>
      <c r="AI144" s="596">
        <v>0</v>
      </c>
      <c r="AJ144" s="594">
        <v>0</v>
      </c>
      <c r="AK144" s="594">
        <v>16000</v>
      </c>
      <c r="AL144" s="594">
        <v>34000</v>
      </c>
      <c r="AM144" s="594">
        <v>314000</v>
      </c>
      <c r="AN144" s="594">
        <v>33000</v>
      </c>
      <c r="AO144" s="594">
        <v>15000</v>
      </c>
      <c r="AP144" s="581">
        <v>412000</v>
      </c>
      <c r="AQ144" s="594">
        <v>443000</v>
      </c>
      <c r="AR144" s="594">
        <v>0</v>
      </c>
      <c r="AS144" s="594">
        <v>136000</v>
      </c>
      <c r="AT144" s="594">
        <v>178000</v>
      </c>
      <c r="AU144" s="581">
        <v>775000</v>
      </c>
      <c r="AV144" s="594">
        <v>443000</v>
      </c>
      <c r="AW144" s="594">
        <v>0</v>
      </c>
      <c r="AX144" s="594">
        <v>136000</v>
      </c>
      <c r="AY144" s="581">
        <v>579000</v>
      </c>
      <c r="AZ144" s="594">
        <v>0</v>
      </c>
      <c r="BA144" s="594">
        <v>18000</v>
      </c>
      <c r="BB144" s="581">
        <v>18000</v>
      </c>
      <c r="BC144" s="597">
        <f>Table35[[#This Row],[Total Expenditure]]/Table35[[#This Row],[Number of pupils (FTE)]]</f>
        <v>7279.8076923076924</v>
      </c>
      <c r="BD144" s="598">
        <f>Table35[[#This Row],[Total Staff Costs]]/Table35[[#This Row],[Number of pupils (FTE)]]</f>
        <v>5631.7307692307695</v>
      </c>
      <c r="BE144" s="598">
        <f>Table35[[#This Row],[Teaching staff]]/Table35[[#This Row],[Number of teachers in academy (FTE)]]</f>
        <v>0</v>
      </c>
      <c r="BF144" s="599">
        <f>Table35[[#This Row],[Number of pupils (FTE)]]/Table35[[#This Row],[Number of teachers in academy (FTE)]]</f>
        <v>17.567567567567568</v>
      </c>
      <c r="BG144" s="600">
        <f t="shared" si="20"/>
        <v>1273.0769230769231</v>
      </c>
      <c r="BH144" s="598">
        <f>Table35[[#This Row],[Premises Costs]]/Table35[[#This Row],[Number of pupils (FTE)]]</f>
        <v>506.73076923076923</v>
      </c>
      <c r="BI144" s="598">
        <f>Table35[[#This Row],[Maintenance &amp; Improvement Costs]]/Table35[[#This Row],[Number of pupils (FTE)]]</f>
        <v>206.73076923076923</v>
      </c>
      <c r="BJ144" s="598" t="e">
        <f>#REF!/E144</f>
        <v>#REF!</v>
      </c>
      <c r="BK144" s="598">
        <f t="shared" si="21"/>
        <v>15.384615384615385</v>
      </c>
      <c r="BL144" s="598">
        <f t="shared" si="22"/>
        <v>32.692307692307693</v>
      </c>
      <c r="BM144" s="598">
        <f t="shared" si="23"/>
        <v>301.92307692307691</v>
      </c>
      <c r="BN144" s="598">
        <f t="shared" si="24"/>
        <v>425.96153846153845</v>
      </c>
      <c r="BO144" s="598">
        <f t="shared" si="25"/>
        <v>0</v>
      </c>
      <c r="BP144" s="598">
        <f t="shared" si="26"/>
        <v>171.15384615384616</v>
      </c>
      <c r="BQ144" s="598">
        <f t="shared" si="27"/>
        <v>745.19230769230774</v>
      </c>
      <c r="BR144" s="598">
        <f t="shared" si="28"/>
        <v>556.73076923076928</v>
      </c>
      <c r="BS144" s="598">
        <f t="shared" si="29"/>
        <v>17.307692307692307</v>
      </c>
    </row>
    <row r="145" spans="1:71" ht="29" hidden="1" x14ac:dyDescent="0.35">
      <c r="A145" s="580">
        <v>925</v>
      </c>
      <c r="B145" s="580" t="s">
        <v>489</v>
      </c>
      <c r="C145" s="593" t="s">
        <v>684</v>
      </c>
      <c r="D145" s="593" t="s">
        <v>519</v>
      </c>
      <c r="E145" s="580">
        <v>327</v>
      </c>
      <c r="F145" s="580">
        <v>14.88</v>
      </c>
      <c r="G145" s="580" t="s">
        <v>644</v>
      </c>
      <c r="H145" s="580">
        <v>47.1</v>
      </c>
      <c r="I145" s="580">
        <v>6.4</v>
      </c>
      <c r="J145" s="580">
        <v>33.299999999999997</v>
      </c>
      <c r="K145" s="580">
        <v>0</v>
      </c>
      <c r="L145" s="581">
        <v>2773000</v>
      </c>
      <c r="M145" s="581">
        <v>2696000</v>
      </c>
      <c r="N145" s="582">
        <f>Table35[[#This Row],[Total Income]]-Table35[[#This Row],[Total Expenditure]]</f>
        <v>77000</v>
      </c>
      <c r="O145" s="581">
        <v>0</v>
      </c>
      <c r="Z145" s="581">
        <v>2039000</v>
      </c>
      <c r="AA145" s="595">
        <f>M145-Z145-Table35[[#This Row],[Maintenance &amp; Improvement]]-Table35[[#This Row],[Cleaning &amp; Caretaking]]-Table35[[#This Row],[Catering Supply]]</f>
        <v>462000</v>
      </c>
      <c r="AB145" s="581">
        <v>47000</v>
      </c>
      <c r="AC145" s="594">
        <v>47000</v>
      </c>
      <c r="AD145" s="594">
        <v>4000</v>
      </c>
      <c r="AE145" s="594">
        <v>129000</v>
      </c>
      <c r="AF145" s="594">
        <v>0</v>
      </c>
      <c r="AG145" s="581">
        <v>180000</v>
      </c>
      <c r="AH145" s="581">
        <v>170000</v>
      </c>
      <c r="AI145" s="596">
        <v>26000</v>
      </c>
      <c r="AJ145" s="594">
        <v>144000</v>
      </c>
      <c r="AK145" s="594">
        <v>5000</v>
      </c>
      <c r="AL145" s="594">
        <v>20000</v>
      </c>
      <c r="AM145" s="594">
        <v>65000</v>
      </c>
      <c r="AN145" s="594">
        <v>0</v>
      </c>
      <c r="AO145" s="594">
        <v>13000</v>
      </c>
      <c r="AP145" s="581">
        <v>273000</v>
      </c>
      <c r="AQ145" s="594">
        <v>83000</v>
      </c>
      <c r="AR145" s="594">
        <v>24000</v>
      </c>
      <c r="AS145" s="594">
        <v>31000</v>
      </c>
      <c r="AT145" s="594">
        <v>33000</v>
      </c>
      <c r="AU145" s="581">
        <v>204000</v>
      </c>
      <c r="AV145" s="594">
        <v>83000</v>
      </c>
      <c r="AW145" s="594">
        <v>24000</v>
      </c>
      <c r="AX145" s="594">
        <v>31000</v>
      </c>
      <c r="AY145" s="581">
        <v>138000</v>
      </c>
      <c r="AZ145" s="594">
        <v>31000</v>
      </c>
      <c r="BA145" s="594">
        <v>2000</v>
      </c>
      <c r="BB145" s="581">
        <v>33000</v>
      </c>
      <c r="BC145" s="597">
        <f>Table35[[#This Row],[Total Expenditure]]/Table35[[#This Row],[Number of pupils (FTE)]]</f>
        <v>8244.6483180428131</v>
      </c>
      <c r="BD145" s="598">
        <f>Table35[[#This Row],[Total Staff Costs]]/Table35[[#This Row],[Number of pupils (FTE)]]</f>
        <v>6235.4740061162083</v>
      </c>
      <c r="BE145" s="598">
        <f>Table35[[#This Row],[Teaching staff]]/Table35[[#This Row],[Number of teachers in academy (FTE)]]</f>
        <v>0</v>
      </c>
      <c r="BF145" s="599">
        <f>Table35[[#This Row],[Number of pupils (FTE)]]/Table35[[#This Row],[Number of teachers in academy (FTE)]]</f>
        <v>21.9758064516129</v>
      </c>
      <c r="BG145" s="600">
        <f t="shared" si="20"/>
        <v>1412.8440366972477</v>
      </c>
      <c r="BH145" s="598">
        <f>Table35[[#This Row],[Premises Costs]]/Table35[[#This Row],[Number of pupils (FTE)]]</f>
        <v>550.45871559633031</v>
      </c>
      <c r="BI145" s="598">
        <f>Table35[[#This Row],[Maintenance &amp; Improvement Costs]]/Table35[[#This Row],[Number of pupils (FTE)]]</f>
        <v>143.7308868501529</v>
      </c>
      <c r="BJ145" s="598" t="e">
        <f>#REF!/E145</f>
        <v>#REF!</v>
      </c>
      <c r="BK145" s="598">
        <f t="shared" si="21"/>
        <v>15.290519877675841</v>
      </c>
      <c r="BL145" s="598">
        <f t="shared" si="22"/>
        <v>61.162079510703364</v>
      </c>
      <c r="BM145" s="598">
        <f t="shared" si="23"/>
        <v>198.77675840978594</v>
      </c>
      <c r="BN145" s="598">
        <f t="shared" si="24"/>
        <v>253.82262996941895</v>
      </c>
      <c r="BO145" s="598">
        <f t="shared" si="25"/>
        <v>73.394495412844037</v>
      </c>
      <c r="BP145" s="598">
        <f t="shared" si="26"/>
        <v>100.91743119266054</v>
      </c>
      <c r="BQ145" s="598">
        <f t="shared" si="27"/>
        <v>623.85321100917429</v>
      </c>
      <c r="BR145" s="598">
        <f t="shared" si="28"/>
        <v>422.01834862385323</v>
      </c>
      <c r="BS145" s="598">
        <f t="shared" si="29"/>
        <v>100.91743119266054</v>
      </c>
    </row>
    <row r="146" spans="1:71" ht="29" hidden="1" x14ac:dyDescent="0.35">
      <c r="A146" s="580">
        <v>925</v>
      </c>
      <c r="B146" s="580" t="s">
        <v>489</v>
      </c>
      <c r="C146" s="593" t="s">
        <v>685</v>
      </c>
      <c r="D146" s="593" t="s">
        <v>686</v>
      </c>
      <c r="E146" s="580">
        <v>999</v>
      </c>
      <c r="F146" s="580">
        <v>54.45</v>
      </c>
      <c r="G146" s="580" t="s">
        <v>644</v>
      </c>
      <c r="H146" s="580">
        <v>7.1</v>
      </c>
      <c r="I146" s="580">
        <v>0.8</v>
      </c>
      <c r="J146" s="580">
        <v>7.4</v>
      </c>
      <c r="K146" s="580">
        <v>260</v>
      </c>
      <c r="L146" s="581">
        <v>6415000</v>
      </c>
      <c r="M146" s="581">
        <v>798000</v>
      </c>
      <c r="N146" s="582">
        <f>Table35[[#This Row],[Total Income]]-Table35[[#This Row],[Total Expenditure]]</f>
        <v>5617000</v>
      </c>
      <c r="O146" s="581">
        <v>522000</v>
      </c>
      <c r="Z146" s="581">
        <v>30000</v>
      </c>
      <c r="AA146" s="595">
        <f>M146-Z146-Table35[[#This Row],[Maintenance &amp; Improvement]]-Table35[[#This Row],[Cleaning &amp; Caretaking]]-Table35[[#This Row],[Catering Supply]]</f>
        <v>652000</v>
      </c>
      <c r="AB146" s="581">
        <v>-11000</v>
      </c>
      <c r="AC146" s="594">
        <v>-11000</v>
      </c>
      <c r="AD146" s="594">
        <v>9000</v>
      </c>
      <c r="AE146" s="594">
        <v>0</v>
      </c>
      <c r="AF146" s="594">
        <v>0</v>
      </c>
      <c r="AG146" s="581">
        <v>-2000</v>
      </c>
      <c r="AH146" s="581">
        <v>118000</v>
      </c>
      <c r="AI146" s="596">
        <v>0</v>
      </c>
      <c r="AJ146" s="594">
        <v>118000</v>
      </c>
      <c r="AK146" s="594">
        <v>0</v>
      </c>
      <c r="AL146" s="594">
        <v>30000</v>
      </c>
      <c r="AM146" s="594">
        <v>183000</v>
      </c>
      <c r="AN146" s="594">
        <v>0</v>
      </c>
      <c r="AO146" s="594">
        <v>13000</v>
      </c>
      <c r="AP146" s="581">
        <v>344000</v>
      </c>
      <c r="AQ146" s="594">
        <v>228000</v>
      </c>
      <c r="AR146" s="594">
        <v>17000</v>
      </c>
      <c r="AS146" s="594">
        <v>148000</v>
      </c>
      <c r="AT146" s="594">
        <v>0</v>
      </c>
      <c r="AU146" s="581">
        <v>426000</v>
      </c>
      <c r="AV146" s="594">
        <v>228000</v>
      </c>
      <c r="AW146" s="594">
        <v>17000</v>
      </c>
      <c r="AX146" s="594">
        <v>148000</v>
      </c>
      <c r="AY146" s="581">
        <v>393000</v>
      </c>
      <c r="AZ146" s="594">
        <v>0</v>
      </c>
      <c r="BA146" s="594">
        <v>33000</v>
      </c>
      <c r="BB146" s="581">
        <v>33000</v>
      </c>
      <c r="BC146" s="597">
        <f>Table35[[#This Row],[Total Expenditure]]/Table35[[#This Row],[Number of pupils (FTE)]]</f>
        <v>798.79879879879877</v>
      </c>
      <c r="BD146" s="598">
        <f>Table35[[#This Row],[Total Staff Costs]]/Table35[[#This Row],[Number of pupils (FTE)]]</f>
        <v>30.03003003003003</v>
      </c>
      <c r="BE146" s="598">
        <f>Table35[[#This Row],[Teaching staff]]/Table35[[#This Row],[Number of teachers in academy (FTE)]]</f>
        <v>0</v>
      </c>
      <c r="BF146" s="599">
        <f>Table35[[#This Row],[Number of pupils (FTE)]]/Table35[[#This Row],[Number of teachers in academy (FTE)]]</f>
        <v>18.347107438016529</v>
      </c>
      <c r="BG146" s="600">
        <f t="shared" si="20"/>
        <v>652.65265265265271</v>
      </c>
      <c r="BH146" s="598">
        <f>Table35[[#This Row],[Premises Costs]]/Table35[[#This Row],[Number of pupils (FTE)]]</f>
        <v>-2.0020020020020022</v>
      </c>
      <c r="BI146" s="598">
        <f>Table35[[#This Row],[Maintenance &amp; Improvement Costs]]/Table35[[#This Row],[Number of pupils (FTE)]]</f>
        <v>-11.011011011011011</v>
      </c>
      <c r="BJ146" s="598" t="e">
        <f>#REF!/E146</f>
        <v>#REF!</v>
      </c>
      <c r="BK146" s="598">
        <f t="shared" si="21"/>
        <v>0</v>
      </c>
      <c r="BL146" s="598">
        <f t="shared" si="22"/>
        <v>30.03003003003003</v>
      </c>
      <c r="BM146" s="598">
        <f t="shared" si="23"/>
        <v>183.18318318318319</v>
      </c>
      <c r="BN146" s="598">
        <f t="shared" si="24"/>
        <v>228.22822822822823</v>
      </c>
      <c r="BO146" s="598">
        <f t="shared" si="25"/>
        <v>17.017017017017018</v>
      </c>
      <c r="BP146" s="598">
        <f t="shared" si="26"/>
        <v>0</v>
      </c>
      <c r="BQ146" s="598">
        <f t="shared" si="27"/>
        <v>426.42642642642642</v>
      </c>
      <c r="BR146" s="598">
        <f t="shared" si="28"/>
        <v>393.39339339339341</v>
      </c>
      <c r="BS146" s="598">
        <f t="shared" si="29"/>
        <v>33.033033033033036</v>
      </c>
    </row>
    <row r="147" spans="1:71" ht="43.5" hidden="1" x14ac:dyDescent="0.35">
      <c r="A147" s="580">
        <v>925</v>
      </c>
      <c r="B147" s="580" t="s">
        <v>489</v>
      </c>
      <c r="C147" s="593" t="s">
        <v>687</v>
      </c>
      <c r="D147" s="593" t="s">
        <v>688</v>
      </c>
      <c r="E147" s="580">
        <v>174</v>
      </c>
      <c r="F147" s="580">
        <v>8.6</v>
      </c>
      <c r="G147" s="580" t="s">
        <v>500</v>
      </c>
      <c r="H147" s="580">
        <v>14.9</v>
      </c>
      <c r="I147" s="580">
        <v>5.2</v>
      </c>
      <c r="J147" s="580">
        <v>12.6</v>
      </c>
      <c r="K147" s="580">
        <v>0</v>
      </c>
      <c r="L147" s="581">
        <v>1118000</v>
      </c>
      <c r="M147" s="581">
        <v>1169000</v>
      </c>
      <c r="N147" s="582">
        <f>Table35[[#This Row],[Total Income]]-Table35[[#This Row],[Total Expenditure]]</f>
        <v>-51000</v>
      </c>
      <c r="O147" s="581">
        <v>291000</v>
      </c>
      <c r="Z147" s="581">
        <v>921000</v>
      </c>
      <c r="AA147" s="595">
        <f>M147-Z147-Table35[[#This Row],[Maintenance &amp; Improvement]]-Table35[[#This Row],[Cleaning &amp; Caretaking]]-Table35[[#This Row],[Catering Supply]]</f>
        <v>172000</v>
      </c>
      <c r="AB147" s="581">
        <v>25000</v>
      </c>
      <c r="AC147" s="594">
        <v>25000</v>
      </c>
      <c r="AD147" s="594">
        <v>14000</v>
      </c>
      <c r="AE147" s="594">
        <v>14000</v>
      </c>
      <c r="AF147" s="594">
        <v>0</v>
      </c>
      <c r="AG147" s="581">
        <v>53000</v>
      </c>
      <c r="AH147" s="581">
        <v>37000</v>
      </c>
      <c r="AI147" s="596">
        <v>0</v>
      </c>
      <c r="AJ147" s="594">
        <v>37000</v>
      </c>
      <c r="AK147" s="594">
        <v>0</v>
      </c>
      <c r="AL147" s="594">
        <v>4000</v>
      </c>
      <c r="AM147" s="594">
        <v>27000</v>
      </c>
      <c r="AN147" s="594">
        <v>4000</v>
      </c>
      <c r="AO147" s="594">
        <v>12000</v>
      </c>
      <c r="AP147" s="581">
        <v>84000</v>
      </c>
      <c r="AQ147" s="594">
        <v>64000</v>
      </c>
      <c r="AR147" s="594">
        <v>0</v>
      </c>
      <c r="AS147" s="594">
        <v>0</v>
      </c>
      <c r="AT147" s="594">
        <v>28000</v>
      </c>
      <c r="AU147" s="581">
        <v>111000</v>
      </c>
      <c r="AV147" s="594">
        <v>64000</v>
      </c>
      <c r="AW147" s="594">
        <v>0</v>
      </c>
      <c r="AX147" s="594">
        <v>0</v>
      </c>
      <c r="AY147" s="581">
        <v>64000</v>
      </c>
      <c r="AZ147" s="594">
        <v>0</v>
      </c>
      <c r="BA147" s="594">
        <v>19000</v>
      </c>
      <c r="BB147" s="581">
        <v>19000</v>
      </c>
      <c r="BC147" s="597">
        <f>Table35[[#This Row],[Total Expenditure]]/Table35[[#This Row],[Number of pupils (FTE)]]</f>
        <v>6718.3908045977014</v>
      </c>
      <c r="BD147" s="598">
        <f>Table35[[#This Row],[Total Staff Costs]]/Table35[[#This Row],[Number of pupils (FTE)]]</f>
        <v>5293.1034482758623</v>
      </c>
      <c r="BE147" s="598">
        <f>Table35[[#This Row],[Teaching staff]]/Table35[[#This Row],[Number of teachers in academy (FTE)]]</f>
        <v>0</v>
      </c>
      <c r="BF147" s="599">
        <f>Table35[[#This Row],[Number of pupils (FTE)]]/Table35[[#This Row],[Number of teachers in academy (FTE)]]</f>
        <v>20.232558139534884</v>
      </c>
      <c r="BG147" s="600">
        <f t="shared" si="20"/>
        <v>988.50574712643675</v>
      </c>
      <c r="BH147" s="598">
        <f>Table35[[#This Row],[Premises Costs]]/Table35[[#This Row],[Number of pupils (FTE)]]</f>
        <v>304.59770114942529</v>
      </c>
      <c r="BI147" s="598">
        <f>Table35[[#This Row],[Maintenance &amp; Improvement Costs]]/Table35[[#This Row],[Number of pupils (FTE)]]</f>
        <v>143.67816091954023</v>
      </c>
      <c r="BJ147" s="598" t="e">
        <f>#REF!/E147</f>
        <v>#REF!</v>
      </c>
      <c r="BK147" s="598">
        <f t="shared" si="21"/>
        <v>0</v>
      </c>
      <c r="BL147" s="598">
        <f t="shared" si="22"/>
        <v>22.988505747126435</v>
      </c>
      <c r="BM147" s="598">
        <f t="shared" si="23"/>
        <v>155.17241379310346</v>
      </c>
      <c r="BN147" s="598">
        <f t="shared" si="24"/>
        <v>367.81609195402297</v>
      </c>
      <c r="BO147" s="598">
        <f t="shared" si="25"/>
        <v>0</v>
      </c>
      <c r="BP147" s="598">
        <f t="shared" si="26"/>
        <v>160.91954022988506</v>
      </c>
      <c r="BQ147" s="598">
        <f t="shared" si="27"/>
        <v>637.93103448275861</v>
      </c>
      <c r="BR147" s="598">
        <f t="shared" si="28"/>
        <v>367.81609195402297</v>
      </c>
      <c r="BS147" s="598">
        <f t="shared" si="29"/>
        <v>109.19540229885058</v>
      </c>
    </row>
    <row r="148" spans="1:71" ht="29" hidden="1" x14ac:dyDescent="0.35">
      <c r="A148" s="580">
        <v>925</v>
      </c>
      <c r="B148" s="580" t="s">
        <v>489</v>
      </c>
      <c r="C148" s="593" t="s">
        <v>689</v>
      </c>
      <c r="D148" s="593" t="s">
        <v>690</v>
      </c>
      <c r="E148" s="580">
        <v>622</v>
      </c>
      <c r="F148" s="580">
        <v>31.08</v>
      </c>
      <c r="G148" s="580" t="s">
        <v>500</v>
      </c>
      <c r="H148" s="580">
        <v>24</v>
      </c>
      <c r="I148" s="580">
        <v>3.5</v>
      </c>
      <c r="J148" s="580">
        <v>10.6</v>
      </c>
      <c r="K148" s="580">
        <v>0</v>
      </c>
      <c r="L148" s="581">
        <v>3713000</v>
      </c>
      <c r="M148" s="581">
        <v>3197000</v>
      </c>
      <c r="N148" s="582">
        <f>Table35[[#This Row],[Total Income]]-Table35[[#This Row],[Total Expenditure]]</f>
        <v>516000</v>
      </c>
      <c r="O148" s="581">
        <v>402000</v>
      </c>
      <c r="Z148" s="581">
        <v>2845000</v>
      </c>
      <c r="AA148" s="595">
        <f>M148-Z148-Table35[[#This Row],[Maintenance &amp; Improvement]]-Table35[[#This Row],[Cleaning &amp; Caretaking]]-Table35[[#This Row],[Catering Supply]]</f>
        <v>296000</v>
      </c>
      <c r="AB148" s="581">
        <v>38000</v>
      </c>
      <c r="AC148" s="594">
        <v>38000</v>
      </c>
      <c r="AD148" s="594">
        <v>18000</v>
      </c>
      <c r="AE148" s="594">
        <v>129000</v>
      </c>
      <c r="AF148" s="594">
        <v>0</v>
      </c>
      <c r="AG148" s="581">
        <v>185000</v>
      </c>
      <c r="AH148" s="581">
        <v>0</v>
      </c>
      <c r="AI148" s="596">
        <v>0</v>
      </c>
      <c r="AJ148" s="594">
        <v>0</v>
      </c>
      <c r="AK148" s="594">
        <v>7000</v>
      </c>
      <c r="AL148" s="594">
        <v>18000</v>
      </c>
      <c r="AM148" s="594">
        <v>45000</v>
      </c>
      <c r="AN148" s="594">
        <v>14000</v>
      </c>
      <c r="AO148" s="594">
        <v>0</v>
      </c>
      <c r="AP148" s="581">
        <v>84000</v>
      </c>
      <c r="AQ148" s="594">
        <v>48000</v>
      </c>
      <c r="AR148" s="594">
        <v>0</v>
      </c>
      <c r="AS148" s="594">
        <v>0</v>
      </c>
      <c r="AT148" s="594">
        <v>0</v>
      </c>
      <c r="AU148" s="581">
        <v>83000</v>
      </c>
      <c r="AV148" s="594">
        <v>48000</v>
      </c>
      <c r="AW148" s="594">
        <v>0</v>
      </c>
      <c r="AX148" s="594">
        <v>0</v>
      </c>
      <c r="AY148" s="581">
        <v>48000</v>
      </c>
      <c r="AZ148" s="594">
        <v>25000</v>
      </c>
      <c r="BA148" s="594">
        <v>10000</v>
      </c>
      <c r="BB148" s="581">
        <v>35000</v>
      </c>
      <c r="BC148" s="597">
        <f>Table35[[#This Row],[Total Expenditure]]/Table35[[#This Row],[Number of pupils (FTE)]]</f>
        <v>5139.8713826366557</v>
      </c>
      <c r="BD148" s="598">
        <f>Table35[[#This Row],[Total Staff Costs]]/Table35[[#This Row],[Number of pupils (FTE)]]</f>
        <v>4573.9549839228293</v>
      </c>
      <c r="BE148" s="598">
        <f>Table35[[#This Row],[Teaching staff]]/Table35[[#This Row],[Number of teachers in academy (FTE)]]</f>
        <v>0</v>
      </c>
      <c r="BF148" s="599">
        <f>Table35[[#This Row],[Number of pupils (FTE)]]/Table35[[#This Row],[Number of teachers in academy (FTE)]]</f>
        <v>20.012870012870014</v>
      </c>
      <c r="BG148" s="600">
        <f t="shared" si="20"/>
        <v>475.88424437299034</v>
      </c>
      <c r="BH148" s="598">
        <f>Table35[[#This Row],[Premises Costs]]/Table35[[#This Row],[Number of pupils (FTE)]]</f>
        <v>297.42765273311898</v>
      </c>
      <c r="BI148" s="598">
        <f>Table35[[#This Row],[Maintenance &amp; Improvement Costs]]/Table35[[#This Row],[Number of pupils (FTE)]]</f>
        <v>61.09324758842444</v>
      </c>
      <c r="BJ148" s="598" t="e">
        <f>#REF!/E148</f>
        <v>#REF!</v>
      </c>
      <c r="BK148" s="598">
        <f t="shared" si="21"/>
        <v>11.254019292604502</v>
      </c>
      <c r="BL148" s="598">
        <f t="shared" si="22"/>
        <v>28.938906752411576</v>
      </c>
      <c r="BM148" s="598">
        <f t="shared" si="23"/>
        <v>72.347266881028943</v>
      </c>
      <c r="BN148" s="598">
        <f t="shared" si="24"/>
        <v>77.170418006430864</v>
      </c>
      <c r="BO148" s="598">
        <f t="shared" si="25"/>
        <v>0</v>
      </c>
      <c r="BP148" s="598">
        <f t="shared" si="26"/>
        <v>0</v>
      </c>
      <c r="BQ148" s="598">
        <f t="shared" si="27"/>
        <v>133.44051446945338</v>
      </c>
      <c r="BR148" s="598">
        <f t="shared" si="28"/>
        <v>77.170418006430864</v>
      </c>
      <c r="BS148" s="598">
        <f t="shared" si="29"/>
        <v>56.270096463022512</v>
      </c>
    </row>
    <row r="149" spans="1:71" ht="29" hidden="1" x14ac:dyDescent="0.35">
      <c r="A149" s="580">
        <v>925</v>
      </c>
      <c r="B149" s="580" t="s">
        <v>489</v>
      </c>
      <c r="C149" s="593" t="s">
        <v>691</v>
      </c>
      <c r="D149" s="593" t="s">
        <v>692</v>
      </c>
      <c r="E149" s="580">
        <v>648</v>
      </c>
      <c r="F149" s="580">
        <v>29.49</v>
      </c>
      <c r="G149" s="580" t="s">
        <v>500</v>
      </c>
      <c r="H149" s="580">
        <v>14</v>
      </c>
      <c r="I149" s="580">
        <v>4.2</v>
      </c>
      <c r="J149" s="580">
        <v>14</v>
      </c>
      <c r="K149" s="580">
        <v>0</v>
      </c>
      <c r="L149" s="581">
        <v>4936000</v>
      </c>
      <c r="M149" s="581">
        <v>4711000</v>
      </c>
      <c r="N149" s="582">
        <f>Table35[[#This Row],[Total Income]]-Table35[[#This Row],[Total Expenditure]]</f>
        <v>225000</v>
      </c>
      <c r="O149" s="581">
        <v>547000</v>
      </c>
      <c r="Z149" s="581">
        <v>3254000</v>
      </c>
      <c r="AA149" s="595">
        <f>M149-Z149-Table35[[#This Row],[Maintenance &amp; Improvement]]-Table35[[#This Row],[Cleaning &amp; Caretaking]]-Table35[[#This Row],[Catering Supply]]</f>
        <v>1240000</v>
      </c>
      <c r="AB149" s="581">
        <v>61000</v>
      </c>
      <c r="AC149" s="594">
        <v>61000</v>
      </c>
      <c r="AD149" s="594">
        <v>13000</v>
      </c>
      <c r="AE149" s="594">
        <v>81000</v>
      </c>
      <c r="AF149" s="594">
        <v>0</v>
      </c>
      <c r="AG149" s="581">
        <v>155000</v>
      </c>
      <c r="AH149" s="581">
        <v>143000</v>
      </c>
      <c r="AI149" s="596">
        <v>0</v>
      </c>
      <c r="AJ149" s="594">
        <v>143000</v>
      </c>
      <c r="AK149" s="594">
        <v>10000</v>
      </c>
      <c r="AL149" s="594">
        <v>12000</v>
      </c>
      <c r="AM149" s="594">
        <v>67000</v>
      </c>
      <c r="AN149" s="594">
        <v>16000</v>
      </c>
      <c r="AO149" s="594">
        <v>16000</v>
      </c>
      <c r="AP149" s="581">
        <v>264000</v>
      </c>
      <c r="AQ149" s="594">
        <v>167000</v>
      </c>
      <c r="AR149" s="594">
        <v>47000</v>
      </c>
      <c r="AS149" s="594">
        <v>0</v>
      </c>
      <c r="AT149" s="594">
        <v>797000</v>
      </c>
      <c r="AU149" s="581">
        <v>1038000</v>
      </c>
      <c r="AV149" s="594">
        <v>167000</v>
      </c>
      <c r="AW149" s="594">
        <v>47000</v>
      </c>
      <c r="AX149" s="594">
        <v>0</v>
      </c>
      <c r="AY149" s="581">
        <v>214000</v>
      </c>
      <c r="AZ149" s="594">
        <v>0</v>
      </c>
      <c r="BA149" s="594">
        <v>27000</v>
      </c>
      <c r="BB149" s="581">
        <v>27000</v>
      </c>
      <c r="BC149" s="597">
        <f>Table35[[#This Row],[Total Expenditure]]/Table35[[#This Row],[Number of pupils (FTE)]]</f>
        <v>7270.0617283950614</v>
      </c>
      <c r="BD149" s="598">
        <f>Table35[[#This Row],[Total Staff Costs]]/Table35[[#This Row],[Number of pupils (FTE)]]</f>
        <v>5021.6049382716046</v>
      </c>
      <c r="BE149" s="598">
        <f>Table35[[#This Row],[Teaching staff]]/Table35[[#This Row],[Number of teachers in academy (FTE)]]</f>
        <v>0</v>
      </c>
      <c r="BF149" s="599">
        <f>Table35[[#This Row],[Number of pupils (FTE)]]/Table35[[#This Row],[Number of teachers in academy (FTE)]]</f>
        <v>21.9735503560529</v>
      </c>
      <c r="BG149" s="600">
        <f t="shared" si="20"/>
        <v>1913.5802469135801</v>
      </c>
      <c r="BH149" s="598">
        <f>Table35[[#This Row],[Premises Costs]]/Table35[[#This Row],[Number of pupils (FTE)]]</f>
        <v>239.19753086419752</v>
      </c>
      <c r="BI149" s="598">
        <f>Table35[[#This Row],[Maintenance &amp; Improvement Costs]]/Table35[[#This Row],[Number of pupils (FTE)]]</f>
        <v>94.135802469135797</v>
      </c>
      <c r="BJ149" s="598" t="e">
        <f>#REF!/E149</f>
        <v>#REF!</v>
      </c>
      <c r="BK149" s="598">
        <f t="shared" si="21"/>
        <v>15.432098765432098</v>
      </c>
      <c r="BL149" s="598">
        <f t="shared" si="22"/>
        <v>18.518518518518519</v>
      </c>
      <c r="BM149" s="598">
        <f t="shared" si="23"/>
        <v>103.39506172839506</v>
      </c>
      <c r="BN149" s="598">
        <f t="shared" si="24"/>
        <v>257.71604938271605</v>
      </c>
      <c r="BO149" s="598">
        <f t="shared" si="25"/>
        <v>72.53086419753086</v>
      </c>
      <c r="BP149" s="598">
        <f t="shared" si="26"/>
        <v>1229.9382716049383</v>
      </c>
      <c r="BQ149" s="598">
        <f t="shared" si="27"/>
        <v>1601.851851851852</v>
      </c>
      <c r="BR149" s="598">
        <f t="shared" si="28"/>
        <v>330.24691358024694</v>
      </c>
      <c r="BS149" s="598">
        <f t="shared" si="29"/>
        <v>41.666666666666664</v>
      </c>
    </row>
    <row r="150" spans="1:71" ht="29" hidden="1" x14ac:dyDescent="0.35">
      <c r="A150" s="580">
        <v>925</v>
      </c>
      <c r="B150" s="580" t="s">
        <v>489</v>
      </c>
      <c r="C150" s="593" t="s">
        <v>693</v>
      </c>
      <c r="D150" s="593" t="s">
        <v>494</v>
      </c>
      <c r="E150" s="580">
        <v>329</v>
      </c>
      <c r="F150" s="580">
        <v>15.6</v>
      </c>
      <c r="G150" s="580" t="s">
        <v>500</v>
      </c>
      <c r="H150" s="580">
        <v>58.1</v>
      </c>
      <c r="I150" s="580">
        <v>8.1999999999999993</v>
      </c>
      <c r="J150" s="580">
        <v>23.1</v>
      </c>
      <c r="K150" s="580">
        <v>0</v>
      </c>
      <c r="L150" s="581">
        <v>2625000</v>
      </c>
      <c r="M150" s="581">
        <v>2249000</v>
      </c>
      <c r="N150" s="582">
        <f>Table35[[#This Row],[Total Income]]-Table35[[#This Row],[Total Expenditure]]</f>
        <v>376000</v>
      </c>
      <c r="O150" s="581">
        <v>322000</v>
      </c>
      <c r="Z150" s="581">
        <v>1892000</v>
      </c>
      <c r="AA150" s="595">
        <f>M150-Z150-Table35[[#This Row],[Maintenance &amp; Improvement]]-Table35[[#This Row],[Cleaning &amp; Caretaking]]-Table35[[#This Row],[Catering Supply]]</f>
        <v>232000</v>
      </c>
      <c r="AB150" s="581">
        <v>35000</v>
      </c>
      <c r="AC150" s="594">
        <v>35000</v>
      </c>
      <c r="AD150" s="594">
        <v>41000</v>
      </c>
      <c r="AE150" s="594">
        <v>18000</v>
      </c>
      <c r="AF150" s="594">
        <v>0</v>
      </c>
      <c r="AG150" s="581">
        <v>94000</v>
      </c>
      <c r="AH150" s="581">
        <v>49000</v>
      </c>
      <c r="AI150" s="596">
        <v>0</v>
      </c>
      <c r="AJ150" s="594">
        <v>49000</v>
      </c>
      <c r="AK150" s="594">
        <v>2000</v>
      </c>
      <c r="AL150" s="594">
        <v>9000</v>
      </c>
      <c r="AM150" s="594">
        <v>34000</v>
      </c>
      <c r="AN150" s="594">
        <v>8000</v>
      </c>
      <c r="AO150" s="594">
        <v>23000</v>
      </c>
      <c r="AP150" s="581">
        <v>125000</v>
      </c>
      <c r="AQ150" s="594">
        <v>57000</v>
      </c>
      <c r="AR150" s="594">
        <v>10000</v>
      </c>
      <c r="AS150" s="594">
        <v>0</v>
      </c>
      <c r="AT150" s="594">
        <v>47000</v>
      </c>
      <c r="AU150" s="581">
        <v>138000</v>
      </c>
      <c r="AV150" s="594">
        <v>57000</v>
      </c>
      <c r="AW150" s="594">
        <v>10000</v>
      </c>
      <c r="AX150" s="594">
        <v>0</v>
      </c>
      <c r="AY150" s="581">
        <v>67000</v>
      </c>
      <c r="AZ150" s="594">
        <v>19000</v>
      </c>
      <c r="BA150" s="594">
        <v>5000</v>
      </c>
      <c r="BB150" s="581">
        <v>24000</v>
      </c>
      <c r="BC150" s="597">
        <f>Table35[[#This Row],[Total Expenditure]]/Table35[[#This Row],[Number of pupils (FTE)]]</f>
        <v>6835.866261398176</v>
      </c>
      <c r="BD150" s="598">
        <f>Table35[[#This Row],[Total Staff Costs]]/Table35[[#This Row],[Number of pupils (FTE)]]</f>
        <v>5750.7598784194524</v>
      </c>
      <c r="BE150" s="598">
        <f>Table35[[#This Row],[Teaching staff]]/Table35[[#This Row],[Number of teachers in academy (FTE)]]</f>
        <v>0</v>
      </c>
      <c r="BF150" s="599">
        <f>Table35[[#This Row],[Number of pupils (FTE)]]/Table35[[#This Row],[Number of teachers in academy (FTE)]]</f>
        <v>21.089743589743591</v>
      </c>
      <c r="BG150" s="600">
        <f t="shared" si="20"/>
        <v>705.16717325227967</v>
      </c>
      <c r="BH150" s="598">
        <f>Table35[[#This Row],[Premises Costs]]/Table35[[#This Row],[Number of pupils (FTE)]]</f>
        <v>285.71428571428572</v>
      </c>
      <c r="BI150" s="598">
        <f>Table35[[#This Row],[Maintenance &amp; Improvement Costs]]/Table35[[#This Row],[Number of pupils (FTE)]]</f>
        <v>106.38297872340425</v>
      </c>
      <c r="BJ150" s="598" t="e">
        <f>#REF!/E150</f>
        <v>#REF!</v>
      </c>
      <c r="BK150" s="598">
        <f t="shared" si="21"/>
        <v>6.0790273556231007</v>
      </c>
      <c r="BL150" s="598">
        <f t="shared" si="22"/>
        <v>27.355623100303951</v>
      </c>
      <c r="BM150" s="598">
        <f t="shared" si="23"/>
        <v>103.34346504559271</v>
      </c>
      <c r="BN150" s="598">
        <f t="shared" si="24"/>
        <v>173.25227963525836</v>
      </c>
      <c r="BO150" s="598">
        <f t="shared" si="25"/>
        <v>30.3951367781155</v>
      </c>
      <c r="BP150" s="598">
        <f t="shared" si="26"/>
        <v>142.85714285714286</v>
      </c>
      <c r="BQ150" s="598">
        <f t="shared" si="27"/>
        <v>419.45288753799394</v>
      </c>
      <c r="BR150" s="598">
        <f t="shared" si="28"/>
        <v>203.64741641337386</v>
      </c>
      <c r="BS150" s="598">
        <f t="shared" si="29"/>
        <v>72.948328267477208</v>
      </c>
    </row>
    <row r="151" spans="1:71" ht="29" hidden="1" x14ac:dyDescent="0.35">
      <c r="A151" s="580">
        <v>925</v>
      </c>
      <c r="B151" s="580" t="s">
        <v>489</v>
      </c>
      <c r="C151" s="593" t="s">
        <v>694</v>
      </c>
      <c r="D151" s="593" t="s">
        <v>695</v>
      </c>
      <c r="E151" s="580">
        <v>284</v>
      </c>
      <c r="F151" s="580">
        <v>12.25</v>
      </c>
      <c r="G151" s="580" t="s">
        <v>500</v>
      </c>
      <c r="H151" s="580">
        <v>16.600000000000001</v>
      </c>
      <c r="I151" s="580">
        <v>2</v>
      </c>
      <c r="J151" s="580">
        <v>10.199999999999999</v>
      </c>
      <c r="K151" s="580">
        <v>0</v>
      </c>
      <c r="L151" s="581">
        <v>1735000</v>
      </c>
      <c r="M151" s="581">
        <v>1692000</v>
      </c>
      <c r="N151" s="582">
        <f>Table35[[#This Row],[Total Income]]-Table35[[#This Row],[Total Expenditure]]</f>
        <v>43000</v>
      </c>
      <c r="O151" s="581">
        <v>251000</v>
      </c>
      <c r="Z151" s="581">
        <v>1274000</v>
      </c>
      <c r="AA151" s="595">
        <f>M151-Z151-Table35[[#This Row],[Maintenance &amp; Improvement]]-Table35[[#This Row],[Cleaning &amp; Caretaking]]-Table35[[#This Row],[Catering Supply]]</f>
        <v>279000</v>
      </c>
      <c r="AB151" s="581">
        <v>13000</v>
      </c>
      <c r="AC151" s="594">
        <v>13000</v>
      </c>
      <c r="AD151" s="594">
        <v>38000</v>
      </c>
      <c r="AE151" s="594">
        <v>28000</v>
      </c>
      <c r="AF151" s="594">
        <v>0</v>
      </c>
      <c r="AG151" s="581">
        <v>79000</v>
      </c>
      <c r="AH151" s="581">
        <v>160000</v>
      </c>
      <c r="AI151" s="596">
        <v>72000</v>
      </c>
      <c r="AJ151" s="594">
        <v>88000</v>
      </c>
      <c r="AK151" s="594">
        <v>2000</v>
      </c>
      <c r="AL151" s="594">
        <v>6000</v>
      </c>
      <c r="AM151" s="594">
        <v>25000</v>
      </c>
      <c r="AN151" s="594">
        <v>8000</v>
      </c>
      <c r="AO151" s="594">
        <v>9000</v>
      </c>
      <c r="AP151" s="581">
        <v>210000</v>
      </c>
      <c r="AQ151" s="594">
        <v>74000</v>
      </c>
      <c r="AR151" s="594">
        <v>3000</v>
      </c>
      <c r="AS151" s="594">
        <v>0</v>
      </c>
      <c r="AT151" s="594">
        <v>30000</v>
      </c>
      <c r="AU151" s="581">
        <v>129000</v>
      </c>
      <c r="AV151" s="594">
        <v>74000</v>
      </c>
      <c r="AW151" s="594">
        <v>3000</v>
      </c>
      <c r="AX151" s="594">
        <v>0</v>
      </c>
      <c r="AY151" s="581">
        <v>77000</v>
      </c>
      <c r="AZ151" s="594">
        <v>0</v>
      </c>
      <c r="BA151" s="594">
        <v>22000</v>
      </c>
      <c r="BB151" s="581">
        <v>22000</v>
      </c>
      <c r="BC151" s="597">
        <f>Table35[[#This Row],[Total Expenditure]]/Table35[[#This Row],[Number of pupils (FTE)]]</f>
        <v>5957.7464788732395</v>
      </c>
      <c r="BD151" s="598">
        <f>Table35[[#This Row],[Total Staff Costs]]/Table35[[#This Row],[Number of pupils (FTE)]]</f>
        <v>4485.9154929577462</v>
      </c>
      <c r="BE151" s="598">
        <f>Table35[[#This Row],[Teaching staff]]/Table35[[#This Row],[Number of teachers in academy (FTE)]]</f>
        <v>0</v>
      </c>
      <c r="BF151" s="599">
        <f>Table35[[#This Row],[Number of pupils (FTE)]]/Table35[[#This Row],[Number of teachers in academy (FTE)]]</f>
        <v>23.183673469387756</v>
      </c>
      <c r="BG151" s="600">
        <f t="shared" si="20"/>
        <v>982.3943661971831</v>
      </c>
      <c r="BH151" s="598">
        <f>Table35[[#This Row],[Premises Costs]]/Table35[[#This Row],[Number of pupils (FTE)]]</f>
        <v>278.16901408450707</v>
      </c>
      <c r="BI151" s="598">
        <f>Table35[[#This Row],[Maintenance &amp; Improvement Costs]]/Table35[[#This Row],[Number of pupils (FTE)]]</f>
        <v>45.774647887323944</v>
      </c>
      <c r="BJ151" s="598" t="e">
        <f>#REF!/E151</f>
        <v>#REF!</v>
      </c>
      <c r="BK151" s="598">
        <f t="shared" si="21"/>
        <v>7.042253521126761</v>
      </c>
      <c r="BL151" s="598">
        <f t="shared" si="22"/>
        <v>21.12676056338028</v>
      </c>
      <c r="BM151" s="598">
        <f t="shared" si="23"/>
        <v>88.028169014084511</v>
      </c>
      <c r="BN151" s="598">
        <f t="shared" si="24"/>
        <v>260.56338028169012</v>
      </c>
      <c r="BO151" s="598">
        <f t="shared" si="25"/>
        <v>10.56338028169014</v>
      </c>
      <c r="BP151" s="598">
        <f t="shared" si="26"/>
        <v>105.63380281690141</v>
      </c>
      <c r="BQ151" s="598">
        <f t="shared" si="27"/>
        <v>454.22535211267603</v>
      </c>
      <c r="BR151" s="598">
        <f t="shared" si="28"/>
        <v>271.12676056338029</v>
      </c>
      <c r="BS151" s="598">
        <f t="shared" si="29"/>
        <v>77.464788732394368</v>
      </c>
    </row>
    <row r="152" spans="1:71" ht="29" hidden="1" x14ac:dyDescent="0.35">
      <c r="A152" s="580">
        <v>925</v>
      </c>
      <c r="B152" s="580" t="s">
        <v>489</v>
      </c>
      <c r="C152" s="593" t="s">
        <v>696</v>
      </c>
      <c r="D152" s="593" t="s">
        <v>580</v>
      </c>
      <c r="E152" s="580">
        <v>174</v>
      </c>
      <c r="F152" s="580">
        <v>9</v>
      </c>
      <c r="G152" s="580" t="s">
        <v>500</v>
      </c>
      <c r="H152" s="580">
        <v>23</v>
      </c>
      <c r="I152" s="580">
        <v>2.8</v>
      </c>
      <c r="J152" s="580">
        <v>28.7</v>
      </c>
      <c r="K152" s="580">
        <v>0</v>
      </c>
      <c r="L152" s="581">
        <v>1147000</v>
      </c>
      <c r="M152" s="581">
        <v>1067000</v>
      </c>
      <c r="N152" s="582">
        <f>Table35[[#This Row],[Total Income]]-Table35[[#This Row],[Total Expenditure]]</f>
        <v>80000</v>
      </c>
      <c r="O152" s="581">
        <v>0</v>
      </c>
      <c r="Z152" s="581">
        <v>864000</v>
      </c>
      <c r="AA152" s="595">
        <f>M152-Z152-Table35[[#This Row],[Maintenance &amp; Improvement]]-Table35[[#This Row],[Cleaning &amp; Caretaking]]-Table35[[#This Row],[Catering Supply]]</f>
        <v>140000</v>
      </c>
      <c r="AB152" s="581">
        <v>17000</v>
      </c>
      <c r="AC152" s="594">
        <v>17000</v>
      </c>
      <c r="AD152" s="594">
        <v>17000</v>
      </c>
      <c r="AE152" s="594">
        <v>0</v>
      </c>
      <c r="AF152" s="594">
        <v>0</v>
      </c>
      <c r="AG152" s="581">
        <v>34000</v>
      </c>
      <c r="AH152" s="581">
        <v>29000</v>
      </c>
      <c r="AI152" s="596">
        <v>0</v>
      </c>
      <c r="AJ152" s="594">
        <v>29000</v>
      </c>
      <c r="AK152" s="594">
        <v>4000</v>
      </c>
      <c r="AL152" s="594">
        <v>4000</v>
      </c>
      <c r="AM152" s="594">
        <v>13000</v>
      </c>
      <c r="AN152" s="594">
        <v>0</v>
      </c>
      <c r="AO152" s="594">
        <v>14000</v>
      </c>
      <c r="AP152" s="581">
        <v>64000</v>
      </c>
      <c r="AQ152" s="594">
        <v>48000</v>
      </c>
      <c r="AR152" s="594">
        <v>14000</v>
      </c>
      <c r="AS152" s="594">
        <v>0</v>
      </c>
      <c r="AT152" s="594">
        <v>42000</v>
      </c>
      <c r="AU152" s="581">
        <v>105000</v>
      </c>
      <c r="AV152" s="594">
        <v>48000</v>
      </c>
      <c r="AW152" s="594">
        <v>14000</v>
      </c>
      <c r="AX152" s="594">
        <v>0</v>
      </c>
      <c r="AY152" s="581">
        <v>62000</v>
      </c>
      <c r="AZ152" s="594">
        <v>0</v>
      </c>
      <c r="BA152" s="594">
        <v>1000</v>
      </c>
      <c r="BB152" s="581">
        <v>1000</v>
      </c>
      <c r="BC152" s="597">
        <f>Table35[[#This Row],[Total Expenditure]]/Table35[[#This Row],[Number of pupils (FTE)]]</f>
        <v>6132.1839080459768</v>
      </c>
      <c r="BD152" s="598">
        <f>Table35[[#This Row],[Total Staff Costs]]/Table35[[#This Row],[Number of pupils (FTE)]]</f>
        <v>4965.5172413793107</v>
      </c>
      <c r="BE152" s="598">
        <f>Table35[[#This Row],[Teaching staff]]/Table35[[#This Row],[Number of teachers in academy (FTE)]]</f>
        <v>0</v>
      </c>
      <c r="BF152" s="599">
        <f>Table35[[#This Row],[Number of pupils (FTE)]]/Table35[[#This Row],[Number of teachers in academy (FTE)]]</f>
        <v>19.333333333333332</v>
      </c>
      <c r="BG152" s="600">
        <f t="shared" si="20"/>
        <v>804.59770114942523</v>
      </c>
      <c r="BH152" s="598">
        <f>Table35[[#This Row],[Premises Costs]]/Table35[[#This Row],[Number of pupils (FTE)]]</f>
        <v>195.40229885057471</v>
      </c>
      <c r="BI152" s="598">
        <f>Table35[[#This Row],[Maintenance &amp; Improvement Costs]]/Table35[[#This Row],[Number of pupils (FTE)]]</f>
        <v>97.701149425287355</v>
      </c>
      <c r="BJ152" s="598" t="e">
        <f>#REF!/E152</f>
        <v>#REF!</v>
      </c>
      <c r="BK152" s="598">
        <f t="shared" si="21"/>
        <v>22.988505747126435</v>
      </c>
      <c r="BL152" s="598">
        <f t="shared" si="22"/>
        <v>22.988505747126435</v>
      </c>
      <c r="BM152" s="598">
        <f t="shared" si="23"/>
        <v>74.712643678160916</v>
      </c>
      <c r="BN152" s="598">
        <f t="shared" si="24"/>
        <v>275.86206896551727</v>
      </c>
      <c r="BO152" s="598">
        <f t="shared" si="25"/>
        <v>80.459770114942529</v>
      </c>
      <c r="BP152" s="598">
        <f t="shared" si="26"/>
        <v>241.37931034482759</v>
      </c>
      <c r="BQ152" s="598">
        <f t="shared" si="27"/>
        <v>603.44827586206895</v>
      </c>
      <c r="BR152" s="598">
        <f t="shared" si="28"/>
        <v>356.32183908045977</v>
      </c>
      <c r="BS152" s="598">
        <f t="shared" si="29"/>
        <v>5.7471264367816088</v>
      </c>
    </row>
    <row r="153" spans="1:71" ht="29" hidden="1" x14ac:dyDescent="0.35">
      <c r="A153" s="580">
        <v>925</v>
      </c>
      <c r="B153" s="580" t="s">
        <v>489</v>
      </c>
      <c r="C153" s="593" t="s">
        <v>697</v>
      </c>
      <c r="D153" s="593" t="s">
        <v>555</v>
      </c>
      <c r="E153" s="580">
        <v>416</v>
      </c>
      <c r="F153" s="580">
        <v>17.899999999999999</v>
      </c>
      <c r="G153" s="580" t="s">
        <v>500</v>
      </c>
      <c r="H153" s="580">
        <v>19</v>
      </c>
      <c r="I153" s="580">
        <v>3.4</v>
      </c>
      <c r="J153" s="580">
        <v>13.2</v>
      </c>
      <c r="K153" s="580">
        <v>0</v>
      </c>
      <c r="L153" s="581">
        <v>2879000</v>
      </c>
      <c r="M153" s="581">
        <v>2491000</v>
      </c>
      <c r="N153" s="582">
        <f>Table35[[#This Row],[Total Income]]-Table35[[#This Row],[Total Expenditure]]</f>
        <v>388000</v>
      </c>
      <c r="O153" s="581">
        <v>0</v>
      </c>
      <c r="Z153" s="581">
        <v>2026000</v>
      </c>
      <c r="AA153" s="595">
        <f>M153-Z153-Table35[[#This Row],[Maintenance &amp; Improvement]]-Table35[[#This Row],[Cleaning &amp; Caretaking]]-Table35[[#This Row],[Catering Supply]]</f>
        <v>303000</v>
      </c>
      <c r="AB153" s="581">
        <v>20000</v>
      </c>
      <c r="AC153" s="594">
        <v>20000</v>
      </c>
      <c r="AD153" s="594">
        <v>22000</v>
      </c>
      <c r="AE153" s="594">
        <v>80000</v>
      </c>
      <c r="AF153" s="594">
        <v>0</v>
      </c>
      <c r="AG153" s="581">
        <v>122000</v>
      </c>
      <c r="AH153" s="581">
        <v>120000</v>
      </c>
      <c r="AI153" s="596">
        <v>0</v>
      </c>
      <c r="AJ153" s="594">
        <v>120000</v>
      </c>
      <c r="AK153" s="594">
        <v>4000</v>
      </c>
      <c r="AL153" s="594">
        <v>7000</v>
      </c>
      <c r="AM153" s="594">
        <v>24000</v>
      </c>
      <c r="AN153" s="594">
        <v>10000</v>
      </c>
      <c r="AO153" s="594">
        <v>9000</v>
      </c>
      <c r="AP153" s="581">
        <v>174000</v>
      </c>
      <c r="AQ153" s="594">
        <v>63000</v>
      </c>
      <c r="AR153" s="594">
        <v>11000</v>
      </c>
      <c r="AS153" s="594">
        <v>0</v>
      </c>
      <c r="AT153" s="594">
        <v>44000</v>
      </c>
      <c r="AU153" s="581">
        <v>169000</v>
      </c>
      <c r="AV153" s="594">
        <v>63000</v>
      </c>
      <c r="AW153" s="594">
        <v>11000</v>
      </c>
      <c r="AX153" s="594">
        <v>0</v>
      </c>
      <c r="AY153" s="581">
        <v>74000</v>
      </c>
      <c r="AZ153" s="594">
        <v>51000</v>
      </c>
      <c r="BA153" s="594">
        <v>0</v>
      </c>
      <c r="BB153" s="581">
        <v>51000</v>
      </c>
      <c r="BC153" s="597">
        <f>Table35[[#This Row],[Total Expenditure]]/Table35[[#This Row],[Number of pupils (FTE)]]</f>
        <v>5987.9807692307695</v>
      </c>
      <c r="BD153" s="598">
        <f>Table35[[#This Row],[Total Staff Costs]]/Table35[[#This Row],[Number of pupils (FTE)]]</f>
        <v>4870.1923076923076</v>
      </c>
      <c r="BE153" s="598">
        <f>Table35[[#This Row],[Teaching staff]]/Table35[[#This Row],[Number of teachers in academy (FTE)]]</f>
        <v>0</v>
      </c>
      <c r="BF153" s="599">
        <f>Table35[[#This Row],[Number of pupils (FTE)]]/Table35[[#This Row],[Number of teachers in academy (FTE)]]</f>
        <v>23.240223463687151</v>
      </c>
      <c r="BG153" s="600">
        <f t="shared" si="20"/>
        <v>728.36538461538464</v>
      </c>
      <c r="BH153" s="598">
        <f>Table35[[#This Row],[Premises Costs]]/Table35[[#This Row],[Number of pupils (FTE)]]</f>
        <v>293.26923076923077</v>
      </c>
      <c r="BI153" s="598">
        <f>Table35[[#This Row],[Maintenance &amp; Improvement Costs]]/Table35[[#This Row],[Number of pupils (FTE)]]</f>
        <v>48.07692307692308</v>
      </c>
      <c r="BJ153" s="598" t="e">
        <f>#REF!/E153</f>
        <v>#REF!</v>
      </c>
      <c r="BK153" s="598">
        <f t="shared" si="21"/>
        <v>9.615384615384615</v>
      </c>
      <c r="BL153" s="598">
        <f t="shared" si="22"/>
        <v>16.826923076923077</v>
      </c>
      <c r="BM153" s="598">
        <f t="shared" si="23"/>
        <v>57.692307692307693</v>
      </c>
      <c r="BN153" s="598">
        <f t="shared" si="24"/>
        <v>151.44230769230768</v>
      </c>
      <c r="BO153" s="598">
        <f t="shared" si="25"/>
        <v>26.442307692307693</v>
      </c>
      <c r="BP153" s="598">
        <f t="shared" si="26"/>
        <v>105.76923076923077</v>
      </c>
      <c r="BQ153" s="598">
        <f t="shared" si="27"/>
        <v>406.25</v>
      </c>
      <c r="BR153" s="598">
        <f t="shared" si="28"/>
        <v>177.88461538461539</v>
      </c>
      <c r="BS153" s="598">
        <f t="shared" si="29"/>
        <v>122.59615384615384</v>
      </c>
    </row>
    <row r="154" spans="1:71" ht="29" hidden="1" x14ac:dyDescent="0.35">
      <c r="A154" s="580">
        <v>925</v>
      </c>
      <c r="B154" s="580" t="s">
        <v>489</v>
      </c>
      <c r="C154" s="593" t="s">
        <v>698</v>
      </c>
      <c r="D154" s="593" t="s">
        <v>699</v>
      </c>
      <c r="E154" s="580">
        <v>260</v>
      </c>
      <c r="F154" s="580">
        <v>11.4</v>
      </c>
      <c r="G154" s="580" t="s">
        <v>500</v>
      </c>
      <c r="H154" s="580">
        <v>20.3</v>
      </c>
      <c r="I154" s="580">
        <v>1.9</v>
      </c>
      <c r="J154" s="580">
        <v>10</v>
      </c>
      <c r="K154" s="580">
        <v>0</v>
      </c>
      <c r="L154" s="581">
        <v>1590000</v>
      </c>
      <c r="M154" s="581">
        <v>1563000</v>
      </c>
      <c r="N154" s="582">
        <f>Table35[[#This Row],[Total Income]]-Table35[[#This Row],[Total Expenditure]]</f>
        <v>27000</v>
      </c>
      <c r="O154" s="581">
        <v>77000</v>
      </c>
      <c r="Z154" s="581">
        <v>1169000</v>
      </c>
      <c r="AA154" s="595">
        <f>M154-Z154-Table35[[#This Row],[Maintenance &amp; Improvement]]-Table35[[#This Row],[Cleaning &amp; Caretaking]]-Table35[[#This Row],[Catering Supply]]</f>
        <v>303000</v>
      </c>
      <c r="AB154" s="581">
        <v>12000</v>
      </c>
      <c r="AC154" s="594">
        <v>12000</v>
      </c>
      <c r="AD154" s="594">
        <v>42000</v>
      </c>
      <c r="AE154" s="594">
        <v>5000</v>
      </c>
      <c r="AF154" s="594">
        <v>0</v>
      </c>
      <c r="AG154" s="581">
        <v>59000</v>
      </c>
      <c r="AH154" s="581">
        <v>102000</v>
      </c>
      <c r="AI154" s="596">
        <v>65000</v>
      </c>
      <c r="AJ154" s="594">
        <v>37000</v>
      </c>
      <c r="AK154" s="594">
        <v>6000</v>
      </c>
      <c r="AL154" s="594">
        <v>6000</v>
      </c>
      <c r="AM154" s="594">
        <v>54000</v>
      </c>
      <c r="AN154" s="594">
        <v>0</v>
      </c>
      <c r="AO154" s="594">
        <v>7000</v>
      </c>
      <c r="AP154" s="581">
        <v>175000</v>
      </c>
      <c r="AQ154" s="594">
        <v>40000</v>
      </c>
      <c r="AR154" s="594">
        <v>1000</v>
      </c>
      <c r="AS154" s="594">
        <v>0</v>
      </c>
      <c r="AT154" s="594">
        <v>53000</v>
      </c>
      <c r="AU154" s="581">
        <v>160000</v>
      </c>
      <c r="AV154" s="594">
        <v>40000</v>
      </c>
      <c r="AW154" s="594">
        <v>1000</v>
      </c>
      <c r="AX154" s="594">
        <v>0</v>
      </c>
      <c r="AY154" s="581">
        <v>41000</v>
      </c>
      <c r="AZ154" s="594">
        <v>27000</v>
      </c>
      <c r="BA154" s="594">
        <v>39000</v>
      </c>
      <c r="BB154" s="581">
        <v>66000</v>
      </c>
      <c r="BC154" s="597">
        <f>Table35[[#This Row],[Total Expenditure]]/Table35[[#This Row],[Number of pupils (FTE)]]</f>
        <v>6011.5384615384619</v>
      </c>
      <c r="BD154" s="598">
        <f>Table35[[#This Row],[Total Staff Costs]]/Table35[[#This Row],[Number of pupils (FTE)]]</f>
        <v>4496.1538461538457</v>
      </c>
      <c r="BE154" s="598">
        <f>Table35[[#This Row],[Teaching staff]]/Table35[[#This Row],[Number of teachers in academy (FTE)]]</f>
        <v>0</v>
      </c>
      <c r="BF154" s="599">
        <f>Table35[[#This Row],[Number of pupils (FTE)]]/Table35[[#This Row],[Number of teachers in academy (FTE)]]</f>
        <v>22.807017543859647</v>
      </c>
      <c r="BG154" s="600">
        <f t="shared" si="20"/>
        <v>1165.3846153846155</v>
      </c>
      <c r="BH154" s="598">
        <f>Table35[[#This Row],[Premises Costs]]/Table35[[#This Row],[Number of pupils (FTE)]]</f>
        <v>226.92307692307693</v>
      </c>
      <c r="BI154" s="598">
        <f>Table35[[#This Row],[Maintenance &amp; Improvement Costs]]/Table35[[#This Row],[Number of pupils (FTE)]]</f>
        <v>46.153846153846153</v>
      </c>
      <c r="BJ154" s="598" t="e">
        <f>#REF!/E154</f>
        <v>#REF!</v>
      </c>
      <c r="BK154" s="598">
        <f t="shared" si="21"/>
        <v>23.076923076923077</v>
      </c>
      <c r="BL154" s="598">
        <f t="shared" si="22"/>
        <v>23.076923076923077</v>
      </c>
      <c r="BM154" s="598">
        <f t="shared" si="23"/>
        <v>207.69230769230768</v>
      </c>
      <c r="BN154" s="598">
        <f t="shared" si="24"/>
        <v>153.84615384615384</v>
      </c>
      <c r="BO154" s="598">
        <f t="shared" si="25"/>
        <v>3.8461538461538463</v>
      </c>
      <c r="BP154" s="598">
        <f t="shared" si="26"/>
        <v>203.84615384615384</v>
      </c>
      <c r="BQ154" s="598">
        <f t="shared" si="27"/>
        <v>615.38461538461536</v>
      </c>
      <c r="BR154" s="598">
        <f t="shared" si="28"/>
        <v>157.69230769230768</v>
      </c>
      <c r="BS154" s="598">
        <f t="shared" si="29"/>
        <v>253.84615384615384</v>
      </c>
    </row>
    <row r="155" spans="1:71" ht="29" hidden="1" x14ac:dyDescent="0.35">
      <c r="A155" s="580">
        <v>925</v>
      </c>
      <c r="B155" s="580" t="s">
        <v>489</v>
      </c>
      <c r="C155" s="593" t="s">
        <v>700</v>
      </c>
      <c r="D155" s="593" t="s">
        <v>555</v>
      </c>
      <c r="E155" s="580">
        <v>213</v>
      </c>
      <c r="F155" s="580">
        <v>8.1999999999999993</v>
      </c>
      <c r="G155" s="580" t="s">
        <v>500</v>
      </c>
      <c r="H155" s="580">
        <v>33.6</v>
      </c>
      <c r="I155" s="580">
        <v>2.2999999999999998</v>
      </c>
      <c r="J155" s="580">
        <v>12.6</v>
      </c>
      <c r="K155" s="580">
        <v>0</v>
      </c>
      <c r="L155" s="581">
        <v>1503000</v>
      </c>
      <c r="M155" s="581">
        <v>1501000</v>
      </c>
      <c r="N155" s="582">
        <f>Table35[[#This Row],[Total Income]]-Table35[[#This Row],[Total Expenditure]]</f>
        <v>2000</v>
      </c>
      <c r="O155" s="581">
        <v>0</v>
      </c>
      <c r="Z155" s="581">
        <v>900000</v>
      </c>
      <c r="AA155" s="595">
        <f>M155-Z155-Table35[[#This Row],[Maintenance &amp; Improvement]]-Table35[[#This Row],[Cleaning &amp; Caretaking]]-Table35[[#This Row],[Catering Supply]]</f>
        <v>202000</v>
      </c>
      <c r="AB155" s="581">
        <v>311000</v>
      </c>
      <c r="AC155" s="594">
        <v>311000</v>
      </c>
      <c r="AD155" s="594">
        <v>8000</v>
      </c>
      <c r="AE155" s="594">
        <v>40000</v>
      </c>
      <c r="AF155" s="594">
        <v>0</v>
      </c>
      <c r="AG155" s="581">
        <v>359000</v>
      </c>
      <c r="AH155" s="581">
        <v>80000</v>
      </c>
      <c r="AI155" s="596">
        <v>0</v>
      </c>
      <c r="AJ155" s="594">
        <v>80000</v>
      </c>
      <c r="AK155" s="594">
        <v>3000</v>
      </c>
      <c r="AL155" s="594">
        <v>4000</v>
      </c>
      <c r="AM155" s="594">
        <v>20000</v>
      </c>
      <c r="AN155" s="594">
        <v>5000</v>
      </c>
      <c r="AO155" s="594">
        <v>5000</v>
      </c>
      <c r="AP155" s="581">
        <v>117000</v>
      </c>
      <c r="AQ155" s="594">
        <v>67000</v>
      </c>
      <c r="AR155" s="594">
        <v>1000</v>
      </c>
      <c r="AS155" s="594">
        <v>0</v>
      </c>
      <c r="AT155" s="594">
        <v>20000</v>
      </c>
      <c r="AU155" s="581">
        <v>125000</v>
      </c>
      <c r="AV155" s="594">
        <v>67000</v>
      </c>
      <c r="AW155" s="594">
        <v>1000</v>
      </c>
      <c r="AX155" s="594">
        <v>0</v>
      </c>
      <c r="AY155" s="581">
        <v>68000</v>
      </c>
      <c r="AZ155" s="594">
        <v>36000</v>
      </c>
      <c r="BA155" s="594">
        <v>1000</v>
      </c>
      <c r="BB155" s="581">
        <v>37000</v>
      </c>
      <c r="BC155" s="597">
        <f>Table35[[#This Row],[Total Expenditure]]/Table35[[#This Row],[Number of pupils (FTE)]]</f>
        <v>7046.948356807512</v>
      </c>
      <c r="BD155" s="598">
        <f>Table35[[#This Row],[Total Staff Costs]]/Table35[[#This Row],[Number of pupils (FTE)]]</f>
        <v>4225.3521126760561</v>
      </c>
      <c r="BE155" s="598">
        <f>Table35[[#This Row],[Teaching staff]]/Table35[[#This Row],[Number of teachers in academy (FTE)]]</f>
        <v>0</v>
      </c>
      <c r="BF155" s="599">
        <f>Table35[[#This Row],[Number of pupils (FTE)]]/Table35[[#This Row],[Number of teachers in academy (FTE)]]</f>
        <v>25.975609756097562</v>
      </c>
      <c r="BG155" s="600">
        <f t="shared" si="20"/>
        <v>948.35680751173709</v>
      </c>
      <c r="BH155" s="598">
        <f>Table35[[#This Row],[Premises Costs]]/Table35[[#This Row],[Number of pupils (FTE)]]</f>
        <v>1685.4460093896714</v>
      </c>
      <c r="BI155" s="598">
        <f>Table35[[#This Row],[Maintenance &amp; Improvement Costs]]/Table35[[#This Row],[Number of pupils (FTE)]]</f>
        <v>1460.0938967136151</v>
      </c>
      <c r="BJ155" s="598" t="e">
        <f>#REF!/E155</f>
        <v>#REF!</v>
      </c>
      <c r="BK155" s="598">
        <f t="shared" si="21"/>
        <v>14.084507042253522</v>
      </c>
      <c r="BL155" s="598">
        <f t="shared" si="22"/>
        <v>18.779342723004696</v>
      </c>
      <c r="BM155" s="598">
        <f t="shared" si="23"/>
        <v>93.896713615023472</v>
      </c>
      <c r="BN155" s="598">
        <f t="shared" si="24"/>
        <v>314.55399061032864</v>
      </c>
      <c r="BO155" s="598">
        <f t="shared" si="25"/>
        <v>4.694835680751174</v>
      </c>
      <c r="BP155" s="598">
        <f t="shared" si="26"/>
        <v>93.896713615023472</v>
      </c>
      <c r="BQ155" s="598">
        <f t="shared" si="27"/>
        <v>586.85446009389671</v>
      </c>
      <c r="BR155" s="598">
        <f t="shared" si="28"/>
        <v>319.24882629107981</v>
      </c>
      <c r="BS155" s="598">
        <f t="shared" si="29"/>
        <v>173.70892018779344</v>
      </c>
    </row>
    <row r="156" spans="1:71" ht="29" hidden="1" x14ac:dyDescent="0.35">
      <c r="A156" s="580">
        <v>925</v>
      </c>
      <c r="B156" s="580" t="s">
        <v>489</v>
      </c>
      <c r="C156" s="593" t="s">
        <v>701</v>
      </c>
      <c r="D156" s="593" t="s">
        <v>508</v>
      </c>
      <c r="E156" s="580">
        <v>179</v>
      </c>
      <c r="F156" s="580">
        <v>8.33</v>
      </c>
      <c r="G156" s="580" t="s">
        <v>500</v>
      </c>
      <c r="H156" s="580">
        <v>39.200000000000003</v>
      </c>
      <c r="I156" s="580">
        <v>3.8</v>
      </c>
      <c r="J156" s="580">
        <v>21.5</v>
      </c>
      <c r="K156" s="580">
        <v>0</v>
      </c>
      <c r="L156" s="581">
        <v>1351000</v>
      </c>
      <c r="M156" s="581">
        <v>1279000</v>
      </c>
      <c r="N156" s="582">
        <f>Table35[[#This Row],[Total Income]]-Table35[[#This Row],[Total Expenditure]]</f>
        <v>72000</v>
      </c>
      <c r="O156" s="581">
        <v>2000</v>
      </c>
      <c r="Z156" s="581">
        <v>999000</v>
      </c>
      <c r="AA156" s="595">
        <f>M156-Z156-Table35[[#This Row],[Maintenance &amp; Improvement]]-Table35[[#This Row],[Cleaning &amp; Caretaking]]-Table35[[#This Row],[Catering Supply]]</f>
        <v>190000</v>
      </c>
      <c r="AB156" s="581">
        <v>20000</v>
      </c>
      <c r="AC156" s="594">
        <v>20000</v>
      </c>
      <c r="AD156" s="594">
        <v>20000</v>
      </c>
      <c r="AE156" s="594">
        <v>28000</v>
      </c>
      <c r="AF156" s="594">
        <v>0</v>
      </c>
      <c r="AG156" s="581">
        <v>68000</v>
      </c>
      <c r="AH156" s="581">
        <v>50000</v>
      </c>
      <c r="AI156" s="596">
        <v>0</v>
      </c>
      <c r="AJ156" s="594">
        <v>50000</v>
      </c>
      <c r="AK156" s="594">
        <v>3000</v>
      </c>
      <c r="AL156" s="594">
        <v>4000</v>
      </c>
      <c r="AM156" s="594">
        <v>32000</v>
      </c>
      <c r="AN156" s="594">
        <v>4000</v>
      </c>
      <c r="AO156" s="594">
        <v>12000</v>
      </c>
      <c r="AP156" s="581">
        <v>105000</v>
      </c>
      <c r="AQ156" s="594">
        <v>64000</v>
      </c>
      <c r="AR156" s="594">
        <v>11000</v>
      </c>
      <c r="AS156" s="594">
        <v>0</v>
      </c>
      <c r="AT156" s="594">
        <v>6000</v>
      </c>
      <c r="AU156" s="581">
        <v>106000</v>
      </c>
      <c r="AV156" s="594">
        <v>64000</v>
      </c>
      <c r="AW156" s="594">
        <v>11000</v>
      </c>
      <c r="AX156" s="594">
        <v>0</v>
      </c>
      <c r="AY156" s="581">
        <v>75000</v>
      </c>
      <c r="AZ156" s="594">
        <v>24000</v>
      </c>
      <c r="BA156" s="594">
        <v>1000</v>
      </c>
      <c r="BB156" s="581">
        <v>25000</v>
      </c>
      <c r="BC156" s="597">
        <f>Table35[[#This Row],[Total Expenditure]]/Table35[[#This Row],[Number of pupils (FTE)]]</f>
        <v>7145.2513966480446</v>
      </c>
      <c r="BD156" s="598">
        <f>Table35[[#This Row],[Total Staff Costs]]/Table35[[#This Row],[Number of pupils (FTE)]]</f>
        <v>5581.0055865921786</v>
      </c>
      <c r="BE156" s="598">
        <f>Table35[[#This Row],[Teaching staff]]/Table35[[#This Row],[Number of teachers in academy (FTE)]]</f>
        <v>0</v>
      </c>
      <c r="BF156" s="599">
        <f>Table35[[#This Row],[Number of pupils (FTE)]]/Table35[[#This Row],[Number of teachers in academy (FTE)]]</f>
        <v>21.48859543817527</v>
      </c>
      <c r="BG156" s="600">
        <f t="shared" si="20"/>
        <v>1061.4525139664804</v>
      </c>
      <c r="BH156" s="598">
        <f>Table35[[#This Row],[Premises Costs]]/Table35[[#This Row],[Number of pupils (FTE)]]</f>
        <v>379.8882681564246</v>
      </c>
      <c r="BI156" s="598">
        <f>Table35[[#This Row],[Maintenance &amp; Improvement Costs]]/Table35[[#This Row],[Number of pupils (FTE)]]</f>
        <v>111.73184357541899</v>
      </c>
      <c r="BJ156" s="598" t="e">
        <f>#REF!/E156</f>
        <v>#REF!</v>
      </c>
      <c r="BK156" s="598">
        <f t="shared" si="21"/>
        <v>16.759776536312849</v>
      </c>
      <c r="BL156" s="598">
        <f t="shared" si="22"/>
        <v>22.346368715083798</v>
      </c>
      <c r="BM156" s="598">
        <f t="shared" si="23"/>
        <v>178.77094972067039</v>
      </c>
      <c r="BN156" s="598">
        <f t="shared" si="24"/>
        <v>357.54189944134077</v>
      </c>
      <c r="BO156" s="598">
        <f t="shared" si="25"/>
        <v>61.452513966480446</v>
      </c>
      <c r="BP156" s="598">
        <f t="shared" si="26"/>
        <v>33.519553072625698</v>
      </c>
      <c r="BQ156" s="598">
        <f t="shared" si="27"/>
        <v>592.17877094972062</v>
      </c>
      <c r="BR156" s="598">
        <f t="shared" si="28"/>
        <v>418.99441340782124</v>
      </c>
      <c r="BS156" s="598">
        <f t="shared" si="29"/>
        <v>139.66480446927375</v>
      </c>
    </row>
    <row r="157" spans="1:71" ht="29" hidden="1" x14ac:dyDescent="0.35">
      <c r="A157" s="580">
        <v>925</v>
      </c>
      <c r="B157" s="580" t="s">
        <v>489</v>
      </c>
      <c r="C157" s="593" t="s">
        <v>702</v>
      </c>
      <c r="D157" s="593" t="s">
        <v>538</v>
      </c>
      <c r="E157" s="580">
        <v>58</v>
      </c>
      <c r="F157" s="580" t="s">
        <v>539</v>
      </c>
      <c r="G157" s="580" t="s">
        <v>500</v>
      </c>
      <c r="H157" s="580">
        <v>53.4</v>
      </c>
      <c r="I157" s="580">
        <v>0</v>
      </c>
      <c r="J157" s="580">
        <v>0</v>
      </c>
      <c r="K157" s="580">
        <v>0</v>
      </c>
      <c r="L157" s="581">
        <v>396000</v>
      </c>
      <c r="M157" s="581">
        <v>360000</v>
      </c>
      <c r="N157" s="582">
        <f>Table35[[#This Row],[Total Income]]-Table35[[#This Row],[Total Expenditure]]</f>
        <v>36000</v>
      </c>
      <c r="O157" s="581">
        <v>110000</v>
      </c>
      <c r="Z157" s="581">
        <v>275000</v>
      </c>
      <c r="AA157" s="595">
        <f>M157-Z157-Table35[[#This Row],[Maintenance &amp; Improvement]]-Table35[[#This Row],[Cleaning &amp; Caretaking]]-Table35[[#This Row],[Catering Supply]]</f>
        <v>68000</v>
      </c>
      <c r="AB157" s="581">
        <v>8000</v>
      </c>
      <c r="AC157" s="594">
        <v>8000</v>
      </c>
      <c r="AD157" s="594">
        <v>1000</v>
      </c>
      <c r="AE157" s="594">
        <v>7000</v>
      </c>
      <c r="AF157" s="594">
        <v>0</v>
      </c>
      <c r="AG157" s="581">
        <v>16000</v>
      </c>
      <c r="AH157" s="581">
        <v>8000</v>
      </c>
      <c r="AI157" s="596">
        <v>0</v>
      </c>
      <c r="AJ157" s="594">
        <v>8000</v>
      </c>
      <c r="AK157" s="594">
        <v>2000</v>
      </c>
      <c r="AL157" s="594">
        <v>1000</v>
      </c>
      <c r="AM157" s="594">
        <v>3000</v>
      </c>
      <c r="AN157" s="594">
        <v>1000</v>
      </c>
      <c r="AO157" s="594">
        <v>2000</v>
      </c>
      <c r="AP157" s="581">
        <v>17000</v>
      </c>
      <c r="AQ157" s="594">
        <v>8000</v>
      </c>
      <c r="AR157" s="594">
        <v>1000</v>
      </c>
      <c r="AS157" s="594">
        <v>0</v>
      </c>
      <c r="AT157" s="594">
        <v>10000</v>
      </c>
      <c r="AU157" s="581">
        <v>52000</v>
      </c>
      <c r="AV157" s="594">
        <v>8000</v>
      </c>
      <c r="AW157" s="594">
        <v>1000</v>
      </c>
      <c r="AX157" s="594">
        <v>0</v>
      </c>
      <c r="AY157" s="581">
        <v>9000</v>
      </c>
      <c r="AZ157" s="594">
        <v>0</v>
      </c>
      <c r="BA157" s="594">
        <v>33000</v>
      </c>
      <c r="BB157" s="581">
        <v>33000</v>
      </c>
      <c r="BC157" s="597">
        <f>Table35[[#This Row],[Total Expenditure]]/Table35[[#This Row],[Number of pupils (FTE)]]</f>
        <v>6206.8965517241377</v>
      </c>
      <c r="BD157" s="598">
        <f>Table35[[#This Row],[Total Staff Costs]]/Table35[[#This Row],[Number of pupils (FTE)]]</f>
        <v>4741.3793103448279</v>
      </c>
      <c r="BE157" s="598" t="e">
        <f>Table35[[#This Row],[Teaching staff]]/Table35[[#This Row],[Number of teachers in academy (FTE)]]</f>
        <v>#VALUE!</v>
      </c>
      <c r="BF157" s="599" t="e">
        <f>Table35[[#This Row],[Number of pupils (FTE)]]/Table35[[#This Row],[Number of teachers in academy (FTE)]]</f>
        <v>#VALUE!</v>
      </c>
      <c r="BG157" s="600">
        <f t="shared" si="20"/>
        <v>1172.4137931034484</v>
      </c>
      <c r="BH157" s="598">
        <f>Table35[[#This Row],[Premises Costs]]/Table35[[#This Row],[Number of pupils (FTE)]]</f>
        <v>275.86206896551727</v>
      </c>
      <c r="BI157" s="598">
        <f>Table35[[#This Row],[Maintenance &amp; Improvement Costs]]/Table35[[#This Row],[Number of pupils (FTE)]]</f>
        <v>137.93103448275863</v>
      </c>
      <c r="BJ157" s="598" t="e">
        <f>#REF!/E157</f>
        <v>#REF!</v>
      </c>
      <c r="BK157" s="598">
        <f t="shared" si="21"/>
        <v>34.482758620689658</v>
      </c>
      <c r="BL157" s="598">
        <f t="shared" si="22"/>
        <v>17.241379310344829</v>
      </c>
      <c r="BM157" s="598">
        <f t="shared" si="23"/>
        <v>51.724137931034484</v>
      </c>
      <c r="BN157" s="598">
        <f t="shared" si="24"/>
        <v>137.93103448275863</v>
      </c>
      <c r="BO157" s="598">
        <f t="shared" si="25"/>
        <v>17.241379310344829</v>
      </c>
      <c r="BP157" s="598">
        <f t="shared" si="26"/>
        <v>172.41379310344828</v>
      </c>
      <c r="BQ157" s="598">
        <f t="shared" si="27"/>
        <v>896.55172413793105</v>
      </c>
      <c r="BR157" s="598">
        <f t="shared" si="28"/>
        <v>155.17241379310346</v>
      </c>
      <c r="BS157" s="598">
        <f t="shared" si="29"/>
        <v>568.9655172413793</v>
      </c>
    </row>
    <row r="158" spans="1:71" ht="29" hidden="1" x14ac:dyDescent="0.35">
      <c r="A158" s="580">
        <v>925</v>
      </c>
      <c r="B158" s="580" t="s">
        <v>489</v>
      </c>
      <c r="C158" s="593" t="s">
        <v>703</v>
      </c>
      <c r="D158" s="593" t="s">
        <v>552</v>
      </c>
      <c r="E158" s="580">
        <v>572</v>
      </c>
      <c r="F158" s="580">
        <v>26.89</v>
      </c>
      <c r="G158" s="580" t="s">
        <v>500</v>
      </c>
      <c r="H158" s="580">
        <v>17.100000000000001</v>
      </c>
      <c r="I158" s="580">
        <v>2.6</v>
      </c>
      <c r="J158" s="580">
        <v>17</v>
      </c>
      <c r="K158" s="580">
        <v>0</v>
      </c>
      <c r="L158" s="581">
        <v>3350000</v>
      </c>
      <c r="M158" s="581">
        <v>3254000</v>
      </c>
      <c r="N158" s="582">
        <f>Table35[[#This Row],[Total Income]]-Table35[[#This Row],[Total Expenditure]]</f>
        <v>96000</v>
      </c>
      <c r="O158" s="581">
        <v>491000</v>
      </c>
      <c r="Z158" s="581">
        <v>2746000</v>
      </c>
      <c r="AA158" s="595">
        <f>M158-Z158-Table35[[#This Row],[Maintenance &amp; Improvement]]-Table35[[#This Row],[Cleaning &amp; Caretaking]]-Table35[[#This Row],[Catering Supply]]</f>
        <v>356000</v>
      </c>
      <c r="AB158" s="581">
        <v>11000</v>
      </c>
      <c r="AC158" s="594">
        <v>11000</v>
      </c>
      <c r="AD158" s="594">
        <v>5000</v>
      </c>
      <c r="AE158" s="594">
        <v>72000</v>
      </c>
      <c r="AF158" s="594">
        <v>0</v>
      </c>
      <c r="AG158" s="581">
        <v>88000</v>
      </c>
      <c r="AH158" s="581">
        <v>136000</v>
      </c>
      <c r="AI158" s="596">
        <v>0</v>
      </c>
      <c r="AJ158" s="594">
        <v>136000</v>
      </c>
      <c r="AK158" s="594">
        <v>9000</v>
      </c>
      <c r="AL158" s="594">
        <v>15000</v>
      </c>
      <c r="AM158" s="594">
        <v>38000</v>
      </c>
      <c r="AN158" s="594">
        <v>0</v>
      </c>
      <c r="AO158" s="594">
        <v>13000</v>
      </c>
      <c r="AP158" s="581">
        <v>211000</v>
      </c>
      <c r="AQ158" s="594">
        <v>69000</v>
      </c>
      <c r="AR158" s="594">
        <v>2000</v>
      </c>
      <c r="AS158" s="594">
        <v>0</v>
      </c>
      <c r="AT158" s="594">
        <v>98000</v>
      </c>
      <c r="AU158" s="581">
        <v>209000</v>
      </c>
      <c r="AV158" s="594">
        <v>69000</v>
      </c>
      <c r="AW158" s="594">
        <v>2000</v>
      </c>
      <c r="AX158" s="594">
        <v>0</v>
      </c>
      <c r="AY158" s="581">
        <v>71000</v>
      </c>
      <c r="AZ158" s="594">
        <v>39000</v>
      </c>
      <c r="BA158" s="594">
        <v>1000</v>
      </c>
      <c r="BB158" s="581">
        <v>40000</v>
      </c>
      <c r="BC158" s="597">
        <f>Table35[[#This Row],[Total Expenditure]]/Table35[[#This Row],[Number of pupils (FTE)]]</f>
        <v>5688.8111888111889</v>
      </c>
      <c r="BD158" s="598">
        <f>Table35[[#This Row],[Total Staff Costs]]/Table35[[#This Row],[Number of pupils (FTE)]]</f>
        <v>4800.6993006993007</v>
      </c>
      <c r="BE158" s="598">
        <f>Table35[[#This Row],[Teaching staff]]/Table35[[#This Row],[Number of teachers in academy (FTE)]]</f>
        <v>0</v>
      </c>
      <c r="BF158" s="599">
        <f>Table35[[#This Row],[Number of pupils (FTE)]]/Table35[[#This Row],[Number of teachers in academy (FTE)]]</f>
        <v>21.271848270732615</v>
      </c>
      <c r="BG158" s="600">
        <f t="shared" si="20"/>
        <v>622.3776223776224</v>
      </c>
      <c r="BH158" s="598">
        <f>Table35[[#This Row],[Premises Costs]]/Table35[[#This Row],[Number of pupils (FTE)]]</f>
        <v>153.84615384615384</v>
      </c>
      <c r="BI158" s="598">
        <f>Table35[[#This Row],[Maintenance &amp; Improvement Costs]]/Table35[[#This Row],[Number of pupils (FTE)]]</f>
        <v>19.23076923076923</v>
      </c>
      <c r="BJ158" s="598" t="e">
        <f>#REF!/E158</f>
        <v>#REF!</v>
      </c>
      <c r="BK158" s="598">
        <f t="shared" si="21"/>
        <v>15.734265734265735</v>
      </c>
      <c r="BL158" s="598">
        <f t="shared" si="22"/>
        <v>26.223776223776223</v>
      </c>
      <c r="BM158" s="598">
        <f t="shared" si="23"/>
        <v>66.43356643356644</v>
      </c>
      <c r="BN158" s="598">
        <f t="shared" si="24"/>
        <v>120.62937062937063</v>
      </c>
      <c r="BO158" s="598">
        <f t="shared" si="25"/>
        <v>3.4965034965034967</v>
      </c>
      <c r="BP158" s="598">
        <f t="shared" si="26"/>
        <v>171.32867132867133</v>
      </c>
      <c r="BQ158" s="598">
        <f t="shared" si="27"/>
        <v>365.38461538461536</v>
      </c>
      <c r="BR158" s="598">
        <f t="shared" si="28"/>
        <v>124.12587412587412</v>
      </c>
      <c r="BS158" s="598">
        <f t="shared" si="29"/>
        <v>69.930069930069934</v>
      </c>
    </row>
    <row r="159" spans="1:71" ht="29" hidden="1" x14ac:dyDescent="0.35">
      <c r="A159" s="580">
        <v>925</v>
      </c>
      <c r="B159" s="580" t="s">
        <v>489</v>
      </c>
      <c r="C159" s="593" t="s">
        <v>704</v>
      </c>
      <c r="D159" s="593" t="s">
        <v>705</v>
      </c>
      <c r="E159" s="580">
        <v>196</v>
      </c>
      <c r="F159" s="580">
        <v>9.8000000000000007</v>
      </c>
      <c r="G159" s="580" t="s">
        <v>500</v>
      </c>
      <c r="H159" s="580">
        <v>6.7</v>
      </c>
      <c r="I159" s="580">
        <v>1.4</v>
      </c>
      <c r="J159" s="580">
        <v>4.3</v>
      </c>
      <c r="K159" s="580">
        <v>0</v>
      </c>
      <c r="L159" s="581">
        <v>1245000</v>
      </c>
      <c r="M159" s="581">
        <v>1210000</v>
      </c>
      <c r="N159" s="582">
        <f>Table35[[#This Row],[Total Income]]-Table35[[#This Row],[Total Expenditure]]</f>
        <v>35000</v>
      </c>
      <c r="O159" s="581">
        <v>-26000</v>
      </c>
      <c r="Z159" s="581">
        <v>951000</v>
      </c>
      <c r="AA159" s="595">
        <f>M159-Z159-Table35[[#This Row],[Maintenance &amp; Improvement]]-Table35[[#This Row],[Cleaning &amp; Caretaking]]-Table35[[#This Row],[Catering Supply]]</f>
        <v>166000</v>
      </c>
      <c r="AB159" s="581">
        <v>13000</v>
      </c>
      <c r="AC159" s="594">
        <v>13000</v>
      </c>
      <c r="AD159" s="594">
        <v>5000</v>
      </c>
      <c r="AE159" s="594">
        <v>43000</v>
      </c>
      <c r="AF159" s="594">
        <v>0</v>
      </c>
      <c r="AG159" s="581">
        <v>61000</v>
      </c>
      <c r="AH159" s="581">
        <v>75000</v>
      </c>
      <c r="AI159" s="596">
        <v>0</v>
      </c>
      <c r="AJ159" s="594">
        <v>75000</v>
      </c>
      <c r="AK159" s="594">
        <v>2000</v>
      </c>
      <c r="AL159" s="594">
        <v>4000</v>
      </c>
      <c r="AM159" s="594">
        <v>17000</v>
      </c>
      <c r="AN159" s="594">
        <v>4000</v>
      </c>
      <c r="AO159" s="594">
        <v>20000</v>
      </c>
      <c r="AP159" s="581">
        <v>122000</v>
      </c>
      <c r="AQ159" s="594">
        <v>8000</v>
      </c>
      <c r="AR159" s="594">
        <v>0</v>
      </c>
      <c r="AS159" s="594">
        <v>0</v>
      </c>
      <c r="AT159" s="594">
        <v>43000</v>
      </c>
      <c r="AU159" s="581">
        <v>76000</v>
      </c>
      <c r="AV159" s="594">
        <v>8000</v>
      </c>
      <c r="AW159" s="594">
        <v>0</v>
      </c>
      <c r="AX159" s="594">
        <v>0</v>
      </c>
      <c r="AY159" s="581">
        <v>8000</v>
      </c>
      <c r="AZ159" s="594">
        <v>6000</v>
      </c>
      <c r="BA159" s="594">
        <v>19000</v>
      </c>
      <c r="BB159" s="581">
        <v>25000</v>
      </c>
      <c r="BC159" s="597">
        <f>Table35[[#This Row],[Total Expenditure]]/Table35[[#This Row],[Number of pupils (FTE)]]</f>
        <v>6173.4693877551017</v>
      </c>
      <c r="BD159" s="598">
        <f>Table35[[#This Row],[Total Staff Costs]]/Table35[[#This Row],[Number of pupils (FTE)]]</f>
        <v>4852.0408163265311</v>
      </c>
      <c r="BE159" s="598">
        <f>Table35[[#This Row],[Teaching staff]]/Table35[[#This Row],[Number of teachers in academy (FTE)]]</f>
        <v>0</v>
      </c>
      <c r="BF159" s="599">
        <f>Table35[[#This Row],[Number of pupils (FTE)]]/Table35[[#This Row],[Number of teachers in academy (FTE)]]</f>
        <v>20</v>
      </c>
      <c r="BG159" s="600">
        <f t="shared" si="20"/>
        <v>846.9387755102041</v>
      </c>
      <c r="BH159" s="598">
        <f>Table35[[#This Row],[Premises Costs]]/Table35[[#This Row],[Number of pupils (FTE)]]</f>
        <v>311.22448979591837</v>
      </c>
      <c r="BI159" s="598">
        <f>Table35[[#This Row],[Maintenance &amp; Improvement Costs]]/Table35[[#This Row],[Number of pupils (FTE)]]</f>
        <v>66.326530612244895</v>
      </c>
      <c r="BJ159" s="598" t="e">
        <f>#REF!/E159</f>
        <v>#REF!</v>
      </c>
      <c r="BK159" s="598">
        <f t="shared" si="21"/>
        <v>10.204081632653061</v>
      </c>
      <c r="BL159" s="598">
        <f t="shared" si="22"/>
        <v>20.408163265306122</v>
      </c>
      <c r="BM159" s="598">
        <f t="shared" si="23"/>
        <v>86.734693877551024</v>
      </c>
      <c r="BN159" s="598">
        <f t="shared" si="24"/>
        <v>40.816326530612244</v>
      </c>
      <c r="BO159" s="598">
        <f t="shared" si="25"/>
        <v>0</v>
      </c>
      <c r="BP159" s="598">
        <f t="shared" si="26"/>
        <v>219.38775510204081</v>
      </c>
      <c r="BQ159" s="598">
        <f t="shared" si="27"/>
        <v>387.75510204081633</v>
      </c>
      <c r="BR159" s="598">
        <f t="shared" si="28"/>
        <v>40.816326530612244</v>
      </c>
      <c r="BS159" s="598">
        <f t="shared" si="29"/>
        <v>127.55102040816327</v>
      </c>
    </row>
    <row r="160" spans="1:71" hidden="1" x14ac:dyDescent="0.35">
      <c r="A160" s="580">
        <v>925</v>
      </c>
      <c r="B160" s="580" t="s">
        <v>489</v>
      </c>
      <c r="C160" s="593" t="s">
        <v>706</v>
      </c>
      <c r="D160" s="593" t="s">
        <v>502</v>
      </c>
      <c r="E160" s="580">
        <v>430</v>
      </c>
      <c r="F160" s="580">
        <v>20.5</v>
      </c>
      <c r="G160" s="580" t="s">
        <v>500</v>
      </c>
      <c r="H160" s="580">
        <v>32.6</v>
      </c>
      <c r="I160" s="580">
        <v>3</v>
      </c>
      <c r="J160" s="580">
        <v>19.3</v>
      </c>
      <c r="K160" s="580">
        <v>0</v>
      </c>
      <c r="L160" s="581">
        <v>2645000</v>
      </c>
      <c r="M160" s="581">
        <v>2356000</v>
      </c>
      <c r="N160" s="582">
        <f>Table35[[#This Row],[Total Income]]-Table35[[#This Row],[Total Expenditure]]</f>
        <v>289000</v>
      </c>
      <c r="O160" s="581">
        <v>244000</v>
      </c>
      <c r="Z160" s="581">
        <v>1859000</v>
      </c>
      <c r="AA160" s="595">
        <f>M160-Z160-Table35[[#This Row],[Maintenance &amp; Improvement]]-Table35[[#This Row],[Cleaning &amp; Caretaking]]-Table35[[#This Row],[Catering Supply]]</f>
        <v>344000</v>
      </c>
      <c r="AB160" s="581">
        <v>40000</v>
      </c>
      <c r="AC160" s="594">
        <v>40000</v>
      </c>
      <c r="AD160" s="594">
        <v>50000</v>
      </c>
      <c r="AE160" s="594">
        <v>19000</v>
      </c>
      <c r="AF160" s="594">
        <v>0</v>
      </c>
      <c r="AG160" s="581">
        <v>109000</v>
      </c>
      <c r="AH160" s="581">
        <v>63000</v>
      </c>
      <c r="AI160" s="596">
        <v>0</v>
      </c>
      <c r="AJ160" s="594">
        <v>63000</v>
      </c>
      <c r="AK160" s="594">
        <v>6000</v>
      </c>
      <c r="AL160" s="594">
        <v>8000</v>
      </c>
      <c r="AM160" s="594">
        <v>42000</v>
      </c>
      <c r="AN160" s="594">
        <v>10000</v>
      </c>
      <c r="AO160" s="594">
        <v>15000</v>
      </c>
      <c r="AP160" s="581">
        <v>144000</v>
      </c>
      <c r="AQ160" s="594">
        <v>106000</v>
      </c>
      <c r="AR160" s="594">
        <v>0</v>
      </c>
      <c r="AS160" s="594">
        <v>0</v>
      </c>
      <c r="AT160" s="594">
        <v>108000</v>
      </c>
      <c r="AU160" s="581">
        <v>244000</v>
      </c>
      <c r="AV160" s="594">
        <v>106000</v>
      </c>
      <c r="AW160" s="594">
        <v>0</v>
      </c>
      <c r="AX160" s="594">
        <v>0</v>
      </c>
      <c r="AY160" s="581">
        <v>106000</v>
      </c>
      <c r="AZ160" s="594">
        <v>28000</v>
      </c>
      <c r="BA160" s="594">
        <v>2000</v>
      </c>
      <c r="BB160" s="581">
        <v>30000</v>
      </c>
      <c r="BC160" s="597">
        <f>Table35[[#This Row],[Total Expenditure]]/Table35[[#This Row],[Number of pupils (FTE)]]</f>
        <v>5479.0697674418607</v>
      </c>
      <c r="BD160" s="598">
        <f>Table35[[#This Row],[Total Staff Costs]]/Table35[[#This Row],[Number of pupils (FTE)]]</f>
        <v>4323.2558139534885</v>
      </c>
      <c r="BE160" s="598">
        <f>Table35[[#This Row],[Teaching staff]]/Table35[[#This Row],[Number of teachers in academy (FTE)]]</f>
        <v>0</v>
      </c>
      <c r="BF160" s="599">
        <f>Table35[[#This Row],[Number of pupils (FTE)]]/Table35[[#This Row],[Number of teachers in academy (FTE)]]</f>
        <v>20.975609756097562</v>
      </c>
      <c r="BG160" s="600">
        <f t="shared" si="20"/>
        <v>800</v>
      </c>
      <c r="BH160" s="598">
        <f>Table35[[#This Row],[Premises Costs]]/Table35[[#This Row],[Number of pupils (FTE)]]</f>
        <v>253.48837209302326</v>
      </c>
      <c r="BI160" s="598">
        <f>Table35[[#This Row],[Maintenance &amp; Improvement Costs]]/Table35[[#This Row],[Number of pupils (FTE)]]</f>
        <v>93.023255813953483</v>
      </c>
      <c r="BJ160" s="598" t="e">
        <f>#REF!/E160</f>
        <v>#REF!</v>
      </c>
      <c r="BK160" s="598">
        <f t="shared" si="21"/>
        <v>13.953488372093023</v>
      </c>
      <c r="BL160" s="598">
        <f t="shared" si="22"/>
        <v>18.604651162790699</v>
      </c>
      <c r="BM160" s="598">
        <f t="shared" si="23"/>
        <v>97.674418604651166</v>
      </c>
      <c r="BN160" s="598">
        <f t="shared" si="24"/>
        <v>246.51162790697674</v>
      </c>
      <c r="BO160" s="598">
        <f t="shared" si="25"/>
        <v>0</v>
      </c>
      <c r="BP160" s="598">
        <f t="shared" si="26"/>
        <v>251.16279069767441</v>
      </c>
      <c r="BQ160" s="598">
        <f t="shared" si="27"/>
        <v>567.44186046511629</v>
      </c>
      <c r="BR160" s="598">
        <f t="shared" si="28"/>
        <v>246.51162790697674</v>
      </c>
      <c r="BS160" s="598">
        <f t="shared" si="29"/>
        <v>69.767441860465112</v>
      </c>
    </row>
    <row r="161" spans="1:71" ht="29" hidden="1" x14ac:dyDescent="0.35">
      <c r="A161" s="580">
        <v>925</v>
      </c>
      <c r="B161" s="580" t="s">
        <v>489</v>
      </c>
      <c r="C161" s="593" t="s">
        <v>707</v>
      </c>
      <c r="D161" s="593" t="s">
        <v>519</v>
      </c>
      <c r="E161" s="580">
        <v>177</v>
      </c>
      <c r="F161" s="580">
        <v>6.76</v>
      </c>
      <c r="G161" s="580" t="s">
        <v>500</v>
      </c>
      <c r="H161" s="580">
        <v>23.6</v>
      </c>
      <c r="I161" s="580">
        <v>4.5</v>
      </c>
      <c r="J161" s="580">
        <v>11.2</v>
      </c>
      <c r="K161" s="580">
        <v>0</v>
      </c>
      <c r="L161" s="581">
        <v>1295000</v>
      </c>
      <c r="M161" s="581">
        <v>1238000</v>
      </c>
      <c r="N161" s="582">
        <f>Table35[[#This Row],[Total Income]]-Table35[[#This Row],[Total Expenditure]]</f>
        <v>57000</v>
      </c>
      <c r="O161" s="581">
        <v>0</v>
      </c>
      <c r="Z161" s="581">
        <v>1016000</v>
      </c>
      <c r="AA161" s="595">
        <f>M161-Z161-Table35[[#This Row],[Maintenance &amp; Improvement]]-Table35[[#This Row],[Cleaning &amp; Caretaking]]-Table35[[#This Row],[Catering Supply]]</f>
        <v>161000</v>
      </c>
      <c r="AB161" s="581">
        <v>12000</v>
      </c>
      <c r="AC161" s="594">
        <v>12000</v>
      </c>
      <c r="AD161" s="594">
        <v>7000</v>
      </c>
      <c r="AE161" s="594">
        <v>47000</v>
      </c>
      <c r="AF161" s="594">
        <v>0</v>
      </c>
      <c r="AG161" s="581">
        <v>66000</v>
      </c>
      <c r="AH161" s="581">
        <v>42000</v>
      </c>
      <c r="AI161" s="596">
        <v>0</v>
      </c>
      <c r="AJ161" s="594">
        <v>42000</v>
      </c>
      <c r="AK161" s="594">
        <v>17000</v>
      </c>
      <c r="AL161" s="594">
        <v>7000</v>
      </c>
      <c r="AM161" s="594">
        <v>16000</v>
      </c>
      <c r="AN161" s="594">
        <v>0</v>
      </c>
      <c r="AO161" s="594">
        <v>4000</v>
      </c>
      <c r="AP161" s="581">
        <v>86000</v>
      </c>
      <c r="AQ161" s="594">
        <v>35000</v>
      </c>
      <c r="AR161" s="594">
        <v>5000</v>
      </c>
      <c r="AS161" s="594">
        <v>0</v>
      </c>
      <c r="AT161" s="594">
        <v>8000</v>
      </c>
      <c r="AU161" s="581">
        <v>70000</v>
      </c>
      <c r="AV161" s="594">
        <v>35000</v>
      </c>
      <c r="AW161" s="594">
        <v>5000</v>
      </c>
      <c r="AX161" s="594">
        <v>0</v>
      </c>
      <c r="AY161" s="581">
        <v>40000</v>
      </c>
      <c r="AZ161" s="594">
        <v>22000</v>
      </c>
      <c r="BA161" s="594">
        <v>0</v>
      </c>
      <c r="BB161" s="581">
        <v>22000</v>
      </c>
      <c r="BC161" s="597">
        <f>Table35[[#This Row],[Total Expenditure]]/Table35[[#This Row],[Number of pupils (FTE)]]</f>
        <v>6994.3502824858761</v>
      </c>
      <c r="BD161" s="598">
        <f>Table35[[#This Row],[Total Staff Costs]]/Table35[[#This Row],[Number of pupils (FTE)]]</f>
        <v>5740.1129943502829</v>
      </c>
      <c r="BE161" s="598">
        <f>Table35[[#This Row],[Teaching staff]]/Table35[[#This Row],[Number of teachers in academy (FTE)]]</f>
        <v>0</v>
      </c>
      <c r="BF161" s="599">
        <f>Table35[[#This Row],[Number of pupils (FTE)]]/Table35[[#This Row],[Number of teachers in academy (FTE)]]</f>
        <v>26.183431952662723</v>
      </c>
      <c r="BG161" s="600">
        <f t="shared" si="20"/>
        <v>909.60451977401135</v>
      </c>
      <c r="BH161" s="598">
        <f>Table35[[#This Row],[Premises Costs]]/Table35[[#This Row],[Number of pupils (FTE)]]</f>
        <v>372.88135593220341</v>
      </c>
      <c r="BI161" s="598">
        <f>Table35[[#This Row],[Maintenance &amp; Improvement Costs]]/Table35[[#This Row],[Number of pupils (FTE)]]</f>
        <v>67.79661016949153</v>
      </c>
      <c r="BJ161" s="598" t="e">
        <f>#REF!/E161</f>
        <v>#REF!</v>
      </c>
      <c r="BK161" s="598">
        <f t="shared" si="21"/>
        <v>96.045197740112997</v>
      </c>
      <c r="BL161" s="598">
        <f t="shared" si="22"/>
        <v>39.548022598870055</v>
      </c>
      <c r="BM161" s="598">
        <f t="shared" si="23"/>
        <v>90.395480225988706</v>
      </c>
      <c r="BN161" s="598">
        <f t="shared" si="24"/>
        <v>197.74011299435028</v>
      </c>
      <c r="BO161" s="598">
        <f t="shared" si="25"/>
        <v>28.248587570621471</v>
      </c>
      <c r="BP161" s="598">
        <f t="shared" si="26"/>
        <v>45.197740112994353</v>
      </c>
      <c r="BQ161" s="598">
        <f t="shared" si="27"/>
        <v>395.48022598870057</v>
      </c>
      <c r="BR161" s="598">
        <f t="shared" si="28"/>
        <v>225.98870056497177</v>
      </c>
      <c r="BS161" s="598">
        <f t="shared" si="29"/>
        <v>124.29378531073446</v>
      </c>
    </row>
    <row r="162" spans="1:71" hidden="1" x14ac:dyDescent="0.35">
      <c r="A162" s="580">
        <v>925</v>
      </c>
      <c r="B162" s="580" t="s">
        <v>489</v>
      </c>
      <c r="C162" s="593" t="s">
        <v>708</v>
      </c>
      <c r="D162" s="593" t="s">
        <v>506</v>
      </c>
      <c r="E162" s="580">
        <v>295</v>
      </c>
      <c r="F162" s="580">
        <v>12.8</v>
      </c>
      <c r="G162" s="580" t="s">
        <v>500</v>
      </c>
      <c r="H162" s="580">
        <v>33</v>
      </c>
      <c r="I162" s="580">
        <v>3.1</v>
      </c>
      <c r="J162" s="580">
        <v>21.4</v>
      </c>
      <c r="K162" s="580">
        <v>0</v>
      </c>
      <c r="L162" s="581">
        <v>2018000</v>
      </c>
      <c r="M162" s="581">
        <v>2218000</v>
      </c>
      <c r="N162" s="582">
        <f>Table35[[#This Row],[Total Income]]-Table35[[#This Row],[Total Expenditure]]</f>
        <v>-200000</v>
      </c>
      <c r="O162" s="581">
        <v>0</v>
      </c>
      <c r="Z162" s="581">
        <v>1628000</v>
      </c>
      <c r="AA162" s="595">
        <f>M162-Z162-Table35[[#This Row],[Maintenance &amp; Improvement]]-Table35[[#This Row],[Cleaning &amp; Caretaking]]-Table35[[#This Row],[Catering Supply]]</f>
        <v>448000</v>
      </c>
      <c r="AB162" s="581">
        <v>23000</v>
      </c>
      <c r="AC162" s="594">
        <v>23000</v>
      </c>
      <c r="AD162" s="594">
        <v>4000</v>
      </c>
      <c r="AE162" s="594">
        <v>84000</v>
      </c>
      <c r="AF162" s="594">
        <v>0</v>
      </c>
      <c r="AG162" s="581">
        <v>111000</v>
      </c>
      <c r="AH162" s="581">
        <v>117000</v>
      </c>
      <c r="AI162" s="596">
        <v>2000</v>
      </c>
      <c r="AJ162" s="594">
        <v>115000</v>
      </c>
      <c r="AK162" s="594">
        <v>5000</v>
      </c>
      <c r="AL162" s="594">
        <v>7000</v>
      </c>
      <c r="AM162" s="594">
        <v>40000</v>
      </c>
      <c r="AN162" s="594">
        <v>6000</v>
      </c>
      <c r="AO162" s="594">
        <v>14000</v>
      </c>
      <c r="AP162" s="581">
        <v>189000</v>
      </c>
      <c r="AQ162" s="594">
        <v>40000</v>
      </c>
      <c r="AR162" s="594">
        <v>0</v>
      </c>
      <c r="AS162" s="594">
        <v>0</v>
      </c>
      <c r="AT162" s="594">
        <v>183000</v>
      </c>
      <c r="AU162" s="581">
        <v>290000</v>
      </c>
      <c r="AV162" s="594">
        <v>40000</v>
      </c>
      <c r="AW162" s="594">
        <v>0</v>
      </c>
      <c r="AX162" s="594">
        <v>0</v>
      </c>
      <c r="AY162" s="581">
        <v>40000</v>
      </c>
      <c r="AZ162" s="594">
        <v>66000</v>
      </c>
      <c r="BA162" s="594">
        <v>1000</v>
      </c>
      <c r="BB162" s="581">
        <v>67000</v>
      </c>
      <c r="BC162" s="597">
        <f>Table35[[#This Row],[Total Expenditure]]/Table35[[#This Row],[Number of pupils (FTE)]]</f>
        <v>7518.6440677966102</v>
      </c>
      <c r="BD162" s="598">
        <f>Table35[[#This Row],[Total Staff Costs]]/Table35[[#This Row],[Number of pupils (FTE)]]</f>
        <v>5518.6440677966102</v>
      </c>
      <c r="BE162" s="598">
        <f>Table35[[#This Row],[Teaching staff]]/Table35[[#This Row],[Number of teachers in academy (FTE)]]</f>
        <v>0</v>
      </c>
      <c r="BF162" s="599">
        <f>Table35[[#This Row],[Number of pupils (FTE)]]/Table35[[#This Row],[Number of teachers in academy (FTE)]]</f>
        <v>23.046875</v>
      </c>
      <c r="BG162" s="600">
        <f t="shared" si="20"/>
        <v>1518.6440677966102</v>
      </c>
      <c r="BH162" s="598">
        <f>Table35[[#This Row],[Premises Costs]]/Table35[[#This Row],[Number of pupils (FTE)]]</f>
        <v>376.27118644067798</v>
      </c>
      <c r="BI162" s="598">
        <f>Table35[[#This Row],[Maintenance &amp; Improvement Costs]]/Table35[[#This Row],[Number of pupils (FTE)]]</f>
        <v>77.966101694915253</v>
      </c>
      <c r="BJ162" s="598" t="e">
        <f>#REF!/E162</f>
        <v>#REF!</v>
      </c>
      <c r="BK162" s="598">
        <f t="shared" si="21"/>
        <v>16.949152542372882</v>
      </c>
      <c r="BL162" s="598">
        <f t="shared" si="22"/>
        <v>23.728813559322035</v>
      </c>
      <c r="BM162" s="598">
        <f t="shared" si="23"/>
        <v>135.59322033898306</v>
      </c>
      <c r="BN162" s="598">
        <f t="shared" si="24"/>
        <v>135.59322033898306</v>
      </c>
      <c r="BO162" s="598">
        <f t="shared" si="25"/>
        <v>0</v>
      </c>
      <c r="BP162" s="598">
        <f t="shared" si="26"/>
        <v>620.33898305084745</v>
      </c>
      <c r="BQ162" s="598">
        <f t="shared" si="27"/>
        <v>983.05084745762713</v>
      </c>
      <c r="BR162" s="598">
        <f t="shared" si="28"/>
        <v>135.59322033898306</v>
      </c>
      <c r="BS162" s="598">
        <f t="shared" si="29"/>
        <v>227.11864406779662</v>
      </c>
    </row>
    <row r="163" spans="1:71" ht="29" hidden="1" x14ac:dyDescent="0.35">
      <c r="A163" s="580">
        <v>925</v>
      </c>
      <c r="B163" s="580" t="s">
        <v>489</v>
      </c>
      <c r="C163" s="593" t="s">
        <v>709</v>
      </c>
      <c r="D163" s="593" t="s">
        <v>528</v>
      </c>
      <c r="E163" s="580">
        <v>676</v>
      </c>
      <c r="F163" s="580">
        <v>45.13</v>
      </c>
      <c r="G163" s="580" t="s">
        <v>644</v>
      </c>
      <c r="H163" s="580">
        <v>20.3</v>
      </c>
      <c r="I163" s="580">
        <v>2.1</v>
      </c>
      <c r="J163" s="580">
        <v>9.1999999999999993</v>
      </c>
      <c r="K163" s="580">
        <v>118</v>
      </c>
      <c r="L163" s="581">
        <v>4844000</v>
      </c>
      <c r="M163" s="581">
        <v>5013000</v>
      </c>
      <c r="N163" s="582">
        <f>Table35[[#This Row],[Total Income]]-Table35[[#This Row],[Total Expenditure]]</f>
        <v>-169000</v>
      </c>
      <c r="O163" s="581">
        <v>-168000</v>
      </c>
      <c r="Z163" s="581">
        <v>3796000</v>
      </c>
      <c r="AA163" s="595">
        <f>M163-Z163-Table35[[#This Row],[Maintenance &amp; Improvement]]-Table35[[#This Row],[Cleaning &amp; Caretaking]]-Table35[[#This Row],[Catering Supply]]</f>
        <v>1076000</v>
      </c>
      <c r="AB163" s="581">
        <v>83000</v>
      </c>
      <c r="AC163" s="594">
        <v>83000</v>
      </c>
      <c r="AD163" s="594">
        <v>11000</v>
      </c>
      <c r="AE163" s="594">
        <v>351000</v>
      </c>
      <c r="AF163" s="594">
        <v>0</v>
      </c>
      <c r="AG163" s="581">
        <v>445000</v>
      </c>
      <c r="AH163" s="581">
        <v>47000</v>
      </c>
      <c r="AI163" s="596">
        <v>0</v>
      </c>
      <c r="AJ163" s="594">
        <v>47000</v>
      </c>
      <c r="AK163" s="594">
        <v>7000</v>
      </c>
      <c r="AL163" s="594">
        <v>35000</v>
      </c>
      <c r="AM163" s="594">
        <v>133000</v>
      </c>
      <c r="AN163" s="594">
        <v>17000</v>
      </c>
      <c r="AO163" s="594">
        <v>14000</v>
      </c>
      <c r="AP163" s="581">
        <v>253000</v>
      </c>
      <c r="AQ163" s="594">
        <v>192000</v>
      </c>
      <c r="AR163" s="594">
        <v>3000</v>
      </c>
      <c r="AS163" s="594">
        <v>87000</v>
      </c>
      <c r="AT163" s="594">
        <v>127000</v>
      </c>
      <c r="AU163" s="581">
        <v>515000</v>
      </c>
      <c r="AV163" s="594">
        <v>192000</v>
      </c>
      <c r="AW163" s="594">
        <v>3000</v>
      </c>
      <c r="AX163" s="594">
        <v>87000</v>
      </c>
      <c r="AY163" s="581">
        <v>282000</v>
      </c>
      <c r="AZ163" s="594">
        <v>89000</v>
      </c>
      <c r="BA163" s="594">
        <v>17000</v>
      </c>
      <c r="BB163" s="581">
        <v>106000</v>
      </c>
      <c r="BC163" s="597">
        <f>Table35[[#This Row],[Total Expenditure]]/Table35[[#This Row],[Number of pupils (FTE)]]</f>
        <v>7415.6804733727813</v>
      </c>
      <c r="BD163" s="598">
        <f>Table35[[#This Row],[Total Staff Costs]]/Table35[[#This Row],[Number of pupils (FTE)]]</f>
        <v>5615.3846153846152</v>
      </c>
      <c r="BE163" s="598">
        <f>Table35[[#This Row],[Teaching staff]]/Table35[[#This Row],[Number of teachers in academy (FTE)]]</f>
        <v>0</v>
      </c>
      <c r="BF163" s="599">
        <f>Table35[[#This Row],[Number of pupils (FTE)]]/Table35[[#This Row],[Number of teachers in academy (FTE)]]</f>
        <v>14.978949700864169</v>
      </c>
      <c r="BG163" s="600">
        <f t="shared" si="20"/>
        <v>1591.7159763313609</v>
      </c>
      <c r="BH163" s="598">
        <f>Table35[[#This Row],[Premises Costs]]/Table35[[#This Row],[Number of pupils (FTE)]]</f>
        <v>658.28402366863907</v>
      </c>
      <c r="BI163" s="598">
        <f>Table35[[#This Row],[Maintenance &amp; Improvement Costs]]/Table35[[#This Row],[Number of pupils (FTE)]]</f>
        <v>122.7810650887574</v>
      </c>
      <c r="BJ163" s="598" t="e">
        <f>#REF!/E163</f>
        <v>#REF!</v>
      </c>
      <c r="BK163" s="598">
        <f t="shared" si="21"/>
        <v>10.355029585798816</v>
      </c>
      <c r="BL163" s="598">
        <f t="shared" si="22"/>
        <v>51.77514792899408</v>
      </c>
      <c r="BM163" s="598">
        <f t="shared" si="23"/>
        <v>196.74556213017752</v>
      </c>
      <c r="BN163" s="598">
        <f t="shared" si="24"/>
        <v>284.02366863905326</v>
      </c>
      <c r="BO163" s="598">
        <f t="shared" si="25"/>
        <v>4.4378698224852071</v>
      </c>
      <c r="BP163" s="598">
        <f t="shared" si="26"/>
        <v>187.8698224852071</v>
      </c>
      <c r="BQ163" s="598">
        <f t="shared" si="27"/>
        <v>761.83431952662727</v>
      </c>
      <c r="BR163" s="598">
        <f t="shared" si="28"/>
        <v>417.15976331360946</v>
      </c>
      <c r="BS163" s="598">
        <f t="shared" si="29"/>
        <v>156.80473372781066</v>
      </c>
    </row>
    <row r="164" spans="1:71" ht="58" hidden="1" x14ac:dyDescent="0.35">
      <c r="A164" s="580">
        <v>925</v>
      </c>
      <c r="B164" s="580" t="s">
        <v>489</v>
      </c>
      <c r="C164" s="593" t="s">
        <v>710</v>
      </c>
      <c r="D164" s="593" t="s">
        <v>711</v>
      </c>
      <c r="E164" s="580">
        <v>529</v>
      </c>
      <c r="F164" s="580">
        <v>34.89</v>
      </c>
      <c r="G164" s="580" t="s">
        <v>644</v>
      </c>
      <c r="H164" s="580">
        <v>12.7</v>
      </c>
      <c r="I164" s="580">
        <v>0.8</v>
      </c>
      <c r="J164" s="580">
        <v>3.8</v>
      </c>
      <c r="K164" s="580">
        <v>93</v>
      </c>
      <c r="L164" s="581">
        <v>3616000</v>
      </c>
      <c r="M164" s="581">
        <v>3818000</v>
      </c>
      <c r="N164" s="582">
        <f>Table35[[#This Row],[Total Income]]-Table35[[#This Row],[Total Expenditure]]</f>
        <v>-202000</v>
      </c>
      <c r="O164" s="581">
        <v>260000</v>
      </c>
      <c r="Z164" s="581">
        <v>3090000</v>
      </c>
      <c r="AA164" s="595">
        <f>M164-Z164-Table35[[#This Row],[Maintenance &amp; Improvement]]-Table35[[#This Row],[Cleaning &amp; Caretaking]]-Table35[[#This Row],[Catering Supply]]</f>
        <v>622000</v>
      </c>
      <c r="AB164" s="581">
        <v>47000</v>
      </c>
      <c r="AC164" s="594">
        <v>47000</v>
      </c>
      <c r="AD164" s="594">
        <v>6000</v>
      </c>
      <c r="AE164" s="594">
        <v>69000</v>
      </c>
      <c r="AF164" s="594">
        <v>0</v>
      </c>
      <c r="AG164" s="581">
        <v>122000</v>
      </c>
      <c r="AH164" s="581">
        <v>128000</v>
      </c>
      <c r="AI164" s="596">
        <v>75000</v>
      </c>
      <c r="AJ164" s="594">
        <v>53000</v>
      </c>
      <c r="AK164" s="594">
        <v>5000</v>
      </c>
      <c r="AL164" s="594">
        <v>15000</v>
      </c>
      <c r="AM164" s="594">
        <v>126000</v>
      </c>
      <c r="AN164" s="594">
        <v>16000</v>
      </c>
      <c r="AO164" s="594">
        <v>6000</v>
      </c>
      <c r="AP164" s="581">
        <v>296000</v>
      </c>
      <c r="AQ164" s="594">
        <v>151000</v>
      </c>
      <c r="AR164" s="594">
        <v>0</v>
      </c>
      <c r="AS164" s="594">
        <v>79000</v>
      </c>
      <c r="AT164" s="594">
        <v>52000</v>
      </c>
      <c r="AU164" s="581">
        <v>310000</v>
      </c>
      <c r="AV164" s="594">
        <v>151000</v>
      </c>
      <c r="AW164" s="594">
        <v>0</v>
      </c>
      <c r="AX164" s="594">
        <v>79000</v>
      </c>
      <c r="AY164" s="581">
        <v>230000</v>
      </c>
      <c r="AZ164" s="594">
        <v>0</v>
      </c>
      <c r="BA164" s="594">
        <v>28000</v>
      </c>
      <c r="BB164" s="581">
        <v>28000</v>
      </c>
      <c r="BC164" s="597">
        <f>Table35[[#This Row],[Total Expenditure]]/Table35[[#This Row],[Number of pupils (FTE)]]</f>
        <v>7217.391304347826</v>
      </c>
      <c r="BD164" s="598">
        <f>Table35[[#This Row],[Total Staff Costs]]/Table35[[#This Row],[Number of pupils (FTE)]]</f>
        <v>5841.2098298676747</v>
      </c>
      <c r="BE164" s="598">
        <f>Table35[[#This Row],[Teaching staff]]/Table35[[#This Row],[Number of teachers in academy (FTE)]]</f>
        <v>0</v>
      </c>
      <c r="BF164" s="599">
        <f>Table35[[#This Row],[Number of pupils (FTE)]]/Table35[[#This Row],[Number of teachers in academy (FTE)]]</f>
        <v>15.161937517913442</v>
      </c>
      <c r="BG164" s="600">
        <f t="shared" si="20"/>
        <v>1175.8034026465029</v>
      </c>
      <c r="BH164" s="598">
        <f>Table35[[#This Row],[Premises Costs]]/Table35[[#This Row],[Number of pupils (FTE)]]</f>
        <v>230.62381852551985</v>
      </c>
      <c r="BI164" s="598">
        <f>Table35[[#This Row],[Maintenance &amp; Improvement Costs]]/Table35[[#This Row],[Number of pupils (FTE)]]</f>
        <v>88.846880907372395</v>
      </c>
      <c r="BJ164" s="598" t="e">
        <f>#REF!/E164</f>
        <v>#REF!</v>
      </c>
      <c r="BK164" s="598">
        <f t="shared" si="21"/>
        <v>9.4517958412098295</v>
      </c>
      <c r="BL164" s="598">
        <f t="shared" si="22"/>
        <v>28.355387523629489</v>
      </c>
      <c r="BM164" s="598">
        <f t="shared" si="23"/>
        <v>238.18525519848771</v>
      </c>
      <c r="BN164" s="598">
        <f t="shared" si="24"/>
        <v>285.44423440453687</v>
      </c>
      <c r="BO164" s="598">
        <f t="shared" si="25"/>
        <v>0</v>
      </c>
      <c r="BP164" s="598">
        <f t="shared" si="26"/>
        <v>98.298676748582224</v>
      </c>
      <c r="BQ164" s="598">
        <f t="shared" si="27"/>
        <v>586.0113421550094</v>
      </c>
      <c r="BR164" s="598">
        <f t="shared" si="28"/>
        <v>434.78260869565219</v>
      </c>
      <c r="BS164" s="598">
        <f t="shared" si="29"/>
        <v>52.930056710775048</v>
      </c>
    </row>
    <row r="165" spans="1:71" hidden="1" x14ac:dyDescent="0.35">
      <c r="A165" s="580">
        <v>925</v>
      </c>
      <c r="B165" s="580" t="s">
        <v>489</v>
      </c>
      <c r="C165" s="593" t="s">
        <v>712</v>
      </c>
      <c r="D165" s="593" t="s">
        <v>713</v>
      </c>
      <c r="E165" s="580">
        <v>1200</v>
      </c>
      <c r="F165" s="580">
        <v>63.69</v>
      </c>
      <c r="G165" s="580" t="s">
        <v>644</v>
      </c>
      <c r="H165" s="580">
        <v>6.7</v>
      </c>
      <c r="I165" s="580">
        <v>0.3</v>
      </c>
      <c r="J165" s="580">
        <v>6.2</v>
      </c>
      <c r="K165" s="580">
        <v>309</v>
      </c>
      <c r="L165" s="581">
        <v>7608000</v>
      </c>
      <c r="M165" s="581">
        <v>7578000</v>
      </c>
      <c r="N165" s="582">
        <f>Table35[[#This Row],[Total Income]]-Table35[[#This Row],[Total Expenditure]]</f>
        <v>30000</v>
      </c>
      <c r="O165" s="581">
        <v>525000</v>
      </c>
      <c r="Z165" s="581">
        <v>5778000</v>
      </c>
      <c r="AA165" s="595">
        <f>M165-Z165-Table35[[#This Row],[Maintenance &amp; Improvement]]-Table35[[#This Row],[Cleaning &amp; Caretaking]]-Table35[[#This Row],[Catering Supply]]</f>
        <v>1137000</v>
      </c>
      <c r="AB165" s="581">
        <v>171000</v>
      </c>
      <c r="AC165" s="594">
        <v>171000</v>
      </c>
      <c r="AD165" s="594">
        <v>14000</v>
      </c>
      <c r="AE165" s="594">
        <v>0</v>
      </c>
      <c r="AF165" s="594">
        <v>0</v>
      </c>
      <c r="AG165" s="581">
        <v>185000</v>
      </c>
      <c r="AH165" s="581">
        <v>478000</v>
      </c>
      <c r="AI165" s="596">
        <v>0</v>
      </c>
      <c r="AJ165" s="594">
        <v>478000</v>
      </c>
      <c r="AK165" s="594">
        <v>10000</v>
      </c>
      <c r="AL165" s="594">
        <v>40000</v>
      </c>
      <c r="AM165" s="594">
        <v>220000</v>
      </c>
      <c r="AN165" s="594">
        <v>34000</v>
      </c>
      <c r="AO165" s="594">
        <v>49000</v>
      </c>
      <c r="AP165" s="581">
        <v>831000</v>
      </c>
      <c r="AQ165" s="594">
        <v>232000</v>
      </c>
      <c r="AR165" s="594">
        <v>174000</v>
      </c>
      <c r="AS165" s="594">
        <v>185000</v>
      </c>
      <c r="AT165" s="594">
        <v>72000</v>
      </c>
      <c r="AU165" s="581">
        <v>764000</v>
      </c>
      <c r="AV165" s="594">
        <v>232000</v>
      </c>
      <c r="AW165" s="594">
        <v>174000</v>
      </c>
      <c r="AX165" s="594">
        <v>185000</v>
      </c>
      <c r="AY165" s="581">
        <v>591000</v>
      </c>
      <c r="AZ165" s="594">
        <v>23000</v>
      </c>
      <c r="BA165" s="594">
        <v>78000</v>
      </c>
      <c r="BB165" s="581">
        <v>101000</v>
      </c>
      <c r="BC165" s="597">
        <f>Table35[[#This Row],[Total Expenditure]]/Table35[[#This Row],[Number of pupils (FTE)]]</f>
        <v>6315</v>
      </c>
      <c r="BD165" s="598">
        <f>Table35[[#This Row],[Total Staff Costs]]/Table35[[#This Row],[Number of pupils (FTE)]]</f>
        <v>4815</v>
      </c>
      <c r="BE165" s="598">
        <f>Table35[[#This Row],[Teaching staff]]/Table35[[#This Row],[Number of teachers in academy (FTE)]]</f>
        <v>0</v>
      </c>
      <c r="BF165" s="599">
        <f>Table35[[#This Row],[Number of pupils (FTE)]]/Table35[[#This Row],[Number of teachers in academy (FTE)]]</f>
        <v>18.841262364578427</v>
      </c>
      <c r="BG165" s="600">
        <f t="shared" si="20"/>
        <v>947.5</v>
      </c>
      <c r="BH165" s="598">
        <f>Table35[[#This Row],[Premises Costs]]/Table35[[#This Row],[Number of pupils (FTE)]]</f>
        <v>154.16666666666666</v>
      </c>
      <c r="BI165" s="598">
        <f>Table35[[#This Row],[Maintenance &amp; Improvement Costs]]/Table35[[#This Row],[Number of pupils (FTE)]]</f>
        <v>142.5</v>
      </c>
      <c r="BJ165" s="598" t="e">
        <f>#REF!/E165</f>
        <v>#REF!</v>
      </c>
      <c r="BK165" s="598">
        <f t="shared" si="21"/>
        <v>8.3333333333333339</v>
      </c>
      <c r="BL165" s="598">
        <f t="shared" si="22"/>
        <v>33.333333333333336</v>
      </c>
      <c r="BM165" s="598">
        <f t="shared" si="23"/>
        <v>183.33333333333334</v>
      </c>
      <c r="BN165" s="598">
        <f t="shared" si="24"/>
        <v>193.33333333333334</v>
      </c>
      <c r="BO165" s="598">
        <f t="shared" si="25"/>
        <v>145</v>
      </c>
      <c r="BP165" s="598">
        <f t="shared" si="26"/>
        <v>60</v>
      </c>
      <c r="BQ165" s="598">
        <f t="shared" si="27"/>
        <v>636.66666666666663</v>
      </c>
      <c r="BR165" s="598">
        <f t="shared" si="28"/>
        <v>492.5</v>
      </c>
      <c r="BS165" s="598">
        <f t="shared" si="29"/>
        <v>84.166666666666671</v>
      </c>
    </row>
    <row r="166" spans="1:71" hidden="1" x14ac:dyDescent="0.35">
      <c r="A166" s="580">
        <v>925</v>
      </c>
      <c r="B166" s="580" t="s">
        <v>489</v>
      </c>
      <c r="C166" s="593" t="s">
        <v>714</v>
      </c>
      <c r="D166" s="593" t="s">
        <v>650</v>
      </c>
      <c r="E166" s="580">
        <v>789</v>
      </c>
      <c r="F166" s="580">
        <v>46.24</v>
      </c>
      <c r="G166" s="580" t="s">
        <v>644</v>
      </c>
      <c r="H166" s="580">
        <v>7.4</v>
      </c>
      <c r="I166" s="580">
        <v>0.8</v>
      </c>
      <c r="J166" s="580">
        <v>10.5</v>
      </c>
      <c r="K166" s="580">
        <v>224</v>
      </c>
      <c r="L166" s="581">
        <v>5738000</v>
      </c>
      <c r="M166" s="581">
        <v>5626000</v>
      </c>
      <c r="N166" s="582">
        <f>Table35[[#This Row],[Total Income]]-Table35[[#This Row],[Total Expenditure]]</f>
        <v>112000</v>
      </c>
      <c r="O166" s="581">
        <v>504000</v>
      </c>
      <c r="Z166" s="581">
        <v>4220000</v>
      </c>
      <c r="AA166" s="595">
        <f>M166-Z166-Table35[[#This Row],[Maintenance &amp; Improvement]]-Table35[[#This Row],[Cleaning &amp; Caretaking]]-Table35[[#This Row],[Catering Supply]]</f>
        <v>1206000</v>
      </c>
      <c r="AB166" s="581">
        <v>74000</v>
      </c>
      <c r="AC166" s="594">
        <v>74000</v>
      </c>
      <c r="AD166" s="594">
        <v>15000</v>
      </c>
      <c r="AE166" s="594">
        <v>82000</v>
      </c>
      <c r="AF166" s="594">
        <v>0</v>
      </c>
      <c r="AG166" s="581">
        <v>171000</v>
      </c>
      <c r="AH166" s="581">
        <v>249000</v>
      </c>
      <c r="AI166" s="596">
        <v>138000</v>
      </c>
      <c r="AJ166" s="594">
        <v>111000</v>
      </c>
      <c r="AK166" s="594">
        <v>0</v>
      </c>
      <c r="AL166" s="594">
        <v>39000</v>
      </c>
      <c r="AM166" s="594">
        <v>201000</v>
      </c>
      <c r="AN166" s="594">
        <v>19000</v>
      </c>
      <c r="AO166" s="594">
        <v>69000</v>
      </c>
      <c r="AP166" s="581">
        <v>577000</v>
      </c>
      <c r="AQ166" s="594">
        <v>357000</v>
      </c>
      <c r="AR166" s="594">
        <v>0</v>
      </c>
      <c r="AS166" s="594">
        <v>113000</v>
      </c>
      <c r="AT166" s="594">
        <v>117000</v>
      </c>
      <c r="AU166" s="581">
        <v>658000</v>
      </c>
      <c r="AV166" s="594">
        <v>357000</v>
      </c>
      <c r="AW166" s="594">
        <v>0</v>
      </c>
      <c r="AX166" s="594">
        <v>113000</v>
      </c>
      <c r="AY166" s="581">
        <v>470000</v>
      </c>
      <c r="AZ166" s="594">
        <v>20000</v>
      </c>
      <c r="BA166" s="594">
        <v>51000</v>
      </c>
      <c r="BB166" s="581">
        <v>71000</v>
      </c>
      <c r="BC166" s="597">
        <f>Table35[[#This Row],[Total Expenditure]]/Table35[[#This Row],[Number of pupils (FTE)]]</f>
        <v>7130.5449936628647</v>
      </c>
      <c r="BD166" s="598">
        <f>Table35[[#This Row],[Total Staff Costs]]/Table35[[#This Row],[Number of pupils (FTE)]]</f>
        <v>5348.5424588086189</v>
      </c>
      <c r="BE166" s="598">
        <f>Table35[[#This Row],[Teaching staff]]/Table35[[#This Row],[Number of teachers in academy (FTE)]]</f>
        <v>0</v>
      </c>
      <c r="BF166" s="599">
        <f>Table35[[#This Row],[Number of pupils (FTE)]]/Table35[[#This Row],[Number of teachers in academy (FTE)]]</f>
        <v>17.063148788927336</v>
      </c>
      <c r="BG166" s="600">
        <f t="shared" si="20"/>
        <v>1528.5171102661598</v>
      </c>
      <c r="BH166" s="598">
        <f>Table35[[#This Row],[Premises Costs]]/Table35[[#This Row],[Number of pupils (FTE)]]</f>
        <v>216.73003802281369</v>
      </c>
      <c r="BI166" s="598">
        <f>Table35[[#This Row],[Maintenance &amp; Improvement Costs]]/Table35[[#This Row],[Number of pupils (FTE)]]</f>
        <v>93.789607097591883</v>
      </c>
      <c r="BJ166" s="598" t="e">
        <f>#REF!/E166</f>
        <v>#REF!</v>
      </c>
      <c r="BK166" s="598">
        <f t="shared" si="21"/>
        <v>0</v>
      </c>
      <c r="BL166" s="598">
        <f t="shared" si="22"/>
        <v>49.429657794676807</v>
      </c>
      <c r="BM166" s="598">
        <f t="shared" si="23"/>
        <v>254.75285171102661</v>
      </c>
      <c r="BN166" s="598">
        <f t="shared" si="24"/>
        <v>452.47148288973386</v>
      </c>
      <c r="BO166" s="598">
        <f t="shared" si="25"/>
        <v>0</v>
      </c>
      <c r="BP166" s="598">
        <f t="shared" si="26"/>
        <v>148.28897338403041</v>
      </c>
      <c r="BQ166" s="598">
        <f t="shared" si="27"/>
        <v>833.9670468948035</v>
      </c>
      <c r="BR166" s="598">
        <f t="shared" si="28"/>
        <v>595.69074778200252</v>
      </c>
      <c r="BS166" s="598">
        <f t="shared" si="29"/>
        <v>89.9873257287706</v>
      </c>
    </row>
    <row r="167" spans="1:71" ht="29" hidden="1" x14ac:dyDescent="0.35">
      <c r="A167" s="580">
        <v>925</v>
      </c>
      <c r="B167" s="580" t="s">
        <v>489</v>
      </c>
      <c r="C167" s="593" t="s">
        <v>715</v>
      </c>
      <c r="D167" s="593" t="s">
        <v>716</v>
      </c>
      <c r="E167" s="580">
        <v>927</v>
      </c>
      <c r="F167" s="580">
        <v>54.82</v>
      </c>
      <c r="G167" s="580" t="s">
        <v>644</v>
      </c>
      <c r="H167" s="580">
        <v>9.6</v>
      </c>
      <c r="I167" s="580">
        <v>0.7</v>
      </c>
      <c r="J167" s="580">
        <v>10.8</v>
      </c>
      <c r="K167" s="580">
        <v>178</v>
      </c>
      <c r="L167" s="581">
        <v>6653000</v>
      </c>
      <c r="M167" s="581">
        <v>6616000</v>
      </c>
      <c r="N167" s="582">
        <f>Table35[[#This Row],[Total Income]]-Table35[[#This Row],[Total Expenditure]]</f>
        <v>37000</v>
      </c>
      <c r="O167" s="581">
        <v>392000</v>
      </c>
      <c r="Z167" s="581">
        <v>5316000</v>
      </c>
      <c r="AA167" s="595">
        <f>M167-Z167-Table35[[#This Row],[Maintenance &amp; Improvement]]-Table35[[#This Row],[Cleaning &amp; Caretaking]]-Table35[[#This Row],[Catering Supply]]</f>
        <v>1028000</v>
      </c>
      <c r="AB167" s="581">
        <v>63000</v>
      </c>
      <c r="AC167" s="594">
        <v>63000</v>
      </c>
      <c r="AD167" s="594">
        <v>5000</v>
      </c>
      <c r="AE167" s="594">
        <v>0</v>
      </c>
      <c r="AF167" s="594">
        <v>0</v>
      </c>
      <c r="AG167" s="581">
        <v>68000</v>
      </c>
      <c r="AH167" s="581">
        <v>204000</v>
      </c>
      <c r="AI167" s="596">
        <v>0</v>
      </c>
      <c r="AJ167" s="594">
        <v>204000</v>
      </c>
      <c r="AK167" s="594">
        <v>13000</v>
      </c>
      <c r="AL167" s="594">
        <v>52000</v>
      </c>
      <c r="AM167" s="594">
        <v>159000</v>
      </c>
      <c r="AN167" s="594">
        <v>24000</v>
      </c>
      <c r="AO167" s="594">
        <v>39000</v>
      </c>
      <c r="AP167" s="581">
        <v>491000</v>
      </c>
      <c r="AQ167" s="594">
        <v>290000</v>
      </c>
      <c r="AR167" s="594">
        <v>63000</v>
      </c>
      <c r="AS167" s="594">
        <v>125000</v>
      </c>
      <c r="AT167" s="594">
        <v>110000</v>
      </c>
      <c r="AU167" s="581">
        <v>741000</v>
      </c>
      <c r="AV167" s="594">
        <v>290000</v>
      </c>
      <c r="AW167" s="594">
        <v>63000</v>
      </c>
      <c r="AX167" s="594">
        <v>125000</v>
      </c>
      <c r="AY167" s="581">
        <v>478000</v>
      </c>
      <c r="AZ167" s="594">
        <v>32000</v>
      </c>
      <c r="BA167" s="594">
        <v>121000</v>
      </c>
      <c r="BB167" s="581">
        <v>153000</v>
      </c>
      <c r="BC167" s="597">
        <f>Table35[[#This Row],[Total Expenditure]]/Table35[[#This Row],[Number of pupils (FTE)]]</f>
        <v>7137.0010787486517</v>
      </c>
      <c r="BD167" s="598">
        <f>Table35[[#This Row],[Total Staff Costs]]/Table35[[#This Row],[Number of pupils (FTE)]]</f>
        <v>5734.62783171521</v>
      </c>
      <c r="BE167" s="598">
        <f>Table35[[#This Row],[Teaching staff]]/Table35[[#This Row],[Number of teachers in academy (FTE)]]</f>
        <v>0</v>
      </c>
      <c r="BF167" s="599">
        <f>Table35[[#This Row],[Number of pupils (FTE)]]/Table35[[#This Row],[Number of teachers in academy (FTE)]]</f>
        <v>16.909886902590294</v>
      </c>
      <c r="BG167" s="600">
        <f t="shared" si="20"/>
        <v>1108.9536138079827</v>
      </c>
      <c r="BH167" s="598">
        <f>Table35[[#This Row],[Premises Costs]]/Table35[[#This Row],[Number of pupils (FTE)]]</f>
        <v>73.354908306364621</v>
      </c>
      <c r="BI167" s="598">
        <f>Table35[[#This Row],[Maintenance &amp; Improvement Costs]]/Table35[[#This Row],[Number of pupils (FTE)]]</f>
        <v>67.961165048543691</v>
      </c>
      <c r="BJ167" s="598" t="e">
        <f>#REF!/E167</f>
        <v>#REF!</v>
      </c>
      <c r="BK167" s="598">
        <f t="shared" si="21"/>
        <v>14.023732470334412</v>
      </c>
      <c r="BL167" s="598">
        <f t="shared" si="22"/>
        <v>56.094929881337649</v>
      </c>
      <c r="BM167" s="598">
        <f t="shared" si="23"/>
        <v>171.52103559870551</v>
      </c>
      <c r="BN167" s="598">
        <f t="shared" si="24"/>
        <v>312.83710895361384</v>
      </c>
      <c r="BO167" s="598">
        <f t="shared" si="25"/>
        <v>67.961165048543691</v>
      </c>
      <c r="BP167" s="598">
        <f t="shared" si="26"/>
        <v>118.66235167206041</v>
      </c>
      <c r="BQ167" s="598">
        <f t="shared" si="27"/>
        <v>799.35275080906149</v>
      </c>
      <c r="BR167" s="598">
        <f t="shared" si="28"/>
        <v>515.64185544768065</v>
      </c>
      <c r="BS167" s="598">
        <f t="shared" si="29"/>
        <v>165.04854368932038</v>
      </c>
    </row>
    <row r="168" spans="1:71" ht="29" hidden="1" x14ac:dyDescent="0.35">
      <c r="A168" s="580">
        <v>925</v>
      </c>
      <c r="B168" s="580" t="s">
        <v>489</v>
      </c>
      <c r="C168" s="593" t="s">
        <v>717</v>
      </c>
      <c r="D168" s="593" t="s">
        <v>718</v>
      </c>
      <c r="E168" s="580">
        <v>683</v>
      </c>
      <c r="F168" s="580">
        <v>39.01</v>
      </c>
      <c r="G168" s="580" t="s">
        <v>644</v>
      </c>
      <c r="H168" s="580">
        <v>5.9</v>
      </c>
      <c r="I168" s="580">
        <v>1</v>
      </c>
      <c r="J168" s="580">
        <v>1.6</v>
      </c>
      <c r="K168" s="580">
        <v>180</v>
      </c>
      <c r="L168" s="581">
        <v>4925000</v>
      </c>
      <c r="M168" s="581">
        <v>4931000</v>
      </c>
      <c r="N168" s="582">
        <f>Table35[[#This Row],[Total Income]]-Table35[[#This Row],[Total Expenditure]]</f>
        <v>-6000</v>
      </c>
      <c r="O168" s="581">
        <v>506000</v>
      </c>
      <c r="Z168" s="581">
        <v>3515000</v>
      </c>
      <c r="AA168" s="595">
        <f>M168-Z168-Table35[[#This Row],[Maintenance &amp; Improvement]]-Table35[[#This Row],[Cleaning &amp; Caretaking]]-Table35[[#This Row],[Catering Supply]]</f>
        <v>1107000</v>
      </c>
      <c r="AB168" s="581">
        <v>60000</v>
      </c>
      <c r="AC168" s="594">
        <v>60000</v>
      </c>
      <c r="AD168" s="594">
        <v>92000</v>
      </c>
      <c r="AE168" s="594">
        <v>127000</v>
      </c>
      <c r="AF168" s="594">
        <v>0</v>
      </c>
      <c r="AG168" s="581">
        <v>279000</v>
      </c>
      <c r="AH168" s="581">
        <v>277000</v>
      </c>
      <c r="AI168" s="596">
        <v>120000</v>
      </c>
      <c r="AJ168" s="594">
        <v>157000</v>
      </c>
      <c r="AK168" s="594">
        <v>18000</v>
      </c>
      <c r="AL168" s="594">
        <v>21000</v>
      </c>
      <c r="AM168" s="594">
        <v>158000</v>
      </c>
      <c r="AN168" s="594">
        <v>16000</v>
      </c>
      <c r="AO168" s="594">
        <v>40000</v>
      </c>
      <c r="AP168" s="581">
        <v>530000</v>
      </c>
      <c r="AQ168" s="594">
        <v>376000</v>
      </c>
      <c r="AR168" s="594">
        <v>20000</v>
      </c>
      <c r="AS168" s="594">
        <v>92000</v>
      </c>
      <c r="AT168" s="594">
        <v>48000</v>
      </c>
      <c r="AU168" s="581">
        <v>604000</v>
      </c>
      <c r="AV168" s="594">
        <v>376000</v>
      </c>
      <c r="AW168" s="594">
        <v>20000</v>
      </c>
      <c r="AX168" s="594">
        <v>92000</v>
      </c>
      <c r="AY168" s="581">
        <v>488000</v>
      </c>
      <c r="AZ168" s="594">
        <v>39000</v>
      </c>
      <c r="BA168" s="594">
        <v>29000</v>
      </c>
      <c r="BB168" s="581">
        <v>68000</v>
      </c>
      <c r="BC168" s="597">
        <f>Table35[[#This Row],[Total Expenditure]]/Table35[[#This Row],[Number of pupils (FTE)]]</f>
        <v>7219.6193265007323</v>
      </c>
      <c r="BD168" s="598">
        <f>Table35[[#This Row],[Total Staff Costs]]/Table35[[#This Row],[Number of pupils (FTE)]]</f>
        <v>5146.4128843338212</v>
      </c>
      <c r="BE168" s="598">
        <f>Table35[[#This Row],[Teaching staff]]/Table35[[#This Row],[Number of teachers in academy (FTE)]]</f>
        <v>0</v>
      </c>
      <c r="BF168" s="599">
        <f>Table35[[#This Row],[Number of pupils (FTE)]]/Table35[[#This Row],[Number of teachers in academy (FTE)]]</f>
        <v>17.508331197128943</v>
      </c>
      <c r="BG168" s="600">
        <f t="shared" si="20"/>
        <v>1620.7906295754026</v>
      </c>
      <c r="BH168" s="598">
        <f>Table35[[#This Row],[Premises Costs]]/Table35[[#This Row],[Number of pupils (FTE)]]</f>
        <v>408.49194729136161</v>
      </c>
      <c r="BI168" s="598">
        <f>Table35[[#This Row],[Maintenance &amp; Improvement Costs]]/Table35[[#This Row],[Number of pupils (FTE)]]</f>
        <v>87.84773060029282</v>
      </c>
      <c r="BJ168" s="598" t="e">
        <f>#REF!/E168</f>
        <v>#REF!</v>
      </c>
      <c r="BK168" s="598">
        <f t="shared" si="21"/>
        <v>26.354319180087849</v>
      </c>
      <c r="BL168" s="598">
        <f t="shared" si="22"/>
        <v>30.746705710102489</v>
      </c>
      <c r="BM168" s="598">
        <f t="shared" si="23"/>
        <v>231.33235724743778</v>
      </c>
      <c r="BN168" s="598">
        <f t="shared" si="24"/>
        <v>550.51244509516835</v>
      </c>
      <c r="BO168" s="598">
        <f t="shared" si="25"/>
        <v>29.282576866764277</v>
      </c>
      <c r="BP168" s="598">
        <f t="shared" si="26"/>
        <v>70.278184480234259</v>
      </c>
      <c r="BQ168" s="598">
        <f t="shared" si="27"/>
        <v>884.33382137628109</v>
      </c>
      <c r="BR168" s="598">
        <f t="shared" si="28"/>
        <v>714.49487554904829</v>
      </c>
      <c r="BS168" s="598">
        <f t="shared" si="29"/>
        <v>99.560761346998532</v>
      </c>
    </row>
    <row r="169" spans="1:71" ht="29" hidden="1" x14ac:dyDescent="0.35">
      <c r="A169" s="580">
        <v>925</v>
      </c>
      <c r="B169" s="580" t="s">
        <v>489</v>
      </c>
      <c r="C169" s="593" t="s">
        <v>676</v>
      </c>
      <c r="D169" s="593" t="s">
        <v>545</v>
      </c>
      <c r="E169" s="580">
        <v>680</v>
      </c>
      <c r="F169" s="580">
        <v>35.6</v>
      </c>
      <c r="G169" s="580" t="s">
        <v>644</v>
      </c>
      <c r="H169" s="580" t="s">
        <v>539</v>
      </c>
      <c r="I169" s="580">
        <v>0</v>
      </c>
      <c r="J169" s="580">
        <v>0</v>
      </c>
      <c r="K169" s="580" t="s">
        <v>539</v>
      </c>
      <c r="L169" s="581">
        <v>1644000</v>
      </c>
      <c r="M169" s="581">
        <v>1811000</v>
      </c>
      <c r="N169" s="582">
        <f>Table35[[#This Row],[Total Income]]-Table35[[#This Row],[Total Expenditure]]</f>
        <v>-167000</v>
      </c>
      <c r="O169" s="581">
        <v>0</v>
      </c>
      <c r="Z169" s="581">
        <v>1038000</v>
      </c>
      <c r="AA169" s="595">
        <f>M169-Z169-Table35[[#This Row],[Maintenance &amp; Improvement]]-Table35[[#This Row],[Cleaning &amp; Caretaking]]-Table35[[#This Row],[Catering Supply]]</f>
        <v>661000</v>
      </c>
      <c r="AB169" s="581">
        <v>76000</v>
      </c>
      <c r="AC169" s="594">
        <v>76000</v>
      </c>
      <c r="AD169" s="594">
        <v>0</v>
      </c>
      <c r="AE169" s="594">
        <v>39000</v>
      </c>
      <c r="AF169" s="594">
        <v>0</v>
      </c>
      <c r="AG169" s="581">
        <v>115000</v>
      </c>
      <c r="AH169" s="581">
        <v>36000</v>
      </c>
      <c r="AI169" s="596">
        <v>0</v>
      </c>
      <c r="AJ169" s="594">
        <v>36000</v>
      </c>
      <c r="AK169" s="594">
        <v>12000</v>
      </c>
      <c r="AL169" s="594">
        <v>30000</v>
      </c>
      <c r="AM169" s="594">
        <v>66000</v>
      </c>
      <c r="AN169" s="594">
        <v>5000</v>
      </c>
      <c r="AO169" s="594">
        <v>0</v>
      </c>
      <c r="AP169" s="581">
        <v>149000</v>
      </c>
      <c r="AQ169" s="594">
        <v>92000</v>
      </c>
      <c r="AR169" s="594">
        <v>17000</v>
      </c>
      <c r="AS169" s="594">
        <v>10000</v>
      </c>
      <c r="AT169" s="594">
        <v>25000</v>
      </c>
      <c r="AU169" s="581">
        <v>509000</v>
      </c>
      <c r="AV169" s="594">
        <v>92000</v>
      </c>
      <c r="AW169" s="594">
        <v>17000</v>
      </c>
      <c r="AX169" s="594">
        <v>10000</v>
      </c>
      <c r="AY169" s="581">
        <v>119000</v>
      </c>
      <c r="AZ169" s="594">
        <v>35000</v>
      </c>
      <c r="BA169" s="594">
        <v>330000</v>
      </c>
      <c r="BB169" s="581">
        <v>365000</v>
      </c>
      <c r="BC169" s="597">
        <f>Table35[[#This Row],[Total Expenditure]]/Table35[[#This Row],[Number of pupils (FTE)]]</f>
        <v>2663.2352941176468</v>
      </c>
      <c r="BD169" s="598">
        <f>Table35[[#This Row],[Total Staff Costs]]/Table35[[#This Row],[Number of pupils (FTE)]]</f>
        <v>1526.4705882352941</v>
      </c>
      <c r="BE169" s="598">
        <f>Table35[[#This Row],[Teaching staff]]/Table35[[#This Row],[Number of teachers in academy (FTE)]]</f>
        <v>0</v>
      </c>
      <c r="BF169" s="599">
        <f>Table35[[#This Row],[Number of pupils (FTE)]]/Table35[[#This Row],[Number of teachers in academy (FTE)]]</f>
        <v>19.101123595505616</v>
      </c>
      <c r="BG169" s="600">
        <f t="shared" si="20"/>
        <v>972.05882352941171</v>
      </c>
      <c r="BH169" s="598">
        <f>Table35[[#This Row],[Premises Costs]]/Table35[[#This Row],[Number of pupils (FTE)]]</f>
        <v>169.11764705882354</v>
      </c>
      <c r="BI169" s="598">
        <f>Table35[[#This Row],[Maintenance &amp; Improvement Costs]]/Table35[[#This Row],[Number of pupils (FTE)]]</f>
        <v>111.76470588235294</v>
      </c>
      <c r="BJ169" s="598" t="e">
        <f>#REF!/E169</f>
        <v>#REF!</v>
      </c>
      <c r="BK169" s="598">
        <f t="shared" si="21"/>
        <v>17.647058823529413</v>
      </c>
      <c r="BL169" s="598">
        <f t="shared" si="22"/>
        <v>44.117647058823529</v>
      </c>
      <c r="BM169" s="598">
        <f t="shared" si="23"/>
        <v>97.058823529411768</v>
      </c>
      <c r="BN169" s="598">
        <f t="shared" si="24"/>
        <v>135.29411764705881</v>
      </c>
      <c r="BO169" s="598">
        <f t="shared" si="25"/>
        <v>25</v>
      </c>
      <c r="BP169" s="598">
        <f t="shared" si="26"/>
        <v>36.764705882352942</v>
      </c>
      <c r="BQ169" s="598">
        <f t="shared" si="27"/>
        <v>748.52941176470586</v>
      </c>
      <c r="BR169" s="598">
        <f t="shared" si="28"/>
        <v>175</v>
      </c>
      <c r="BS169" s="598">
        <f t="shared" si="29"/>
        <v>536.76470588235293</v>
      </c>
    </row>
    <row r="170" spans="1:71" ht="29" hidden="1" x14ac:dyDescent="0.35">
      <c r="A170" s="580">
        <v>925</v>
      </c>
      <c r="B170" s="580" t="s">
        <v>489</v>
      </c>
      <c r="C170" s="593" t="s">
        <v>719</v>
      </c>
      <c r="D170" s="593" t="s">
        <v>720</v>
      </c>
      <c r="E170" s="580">
        <v>1286</v>
      </c>
      <c r="F170" s="580">
        <v>74.92</v>
      </c>
      <c r="G170" s="580" t="s">
        <v>644</v>
      </c>
      <c r="H170" s="580">
        <v>29.1</v>
      </c>
      <c r="I170" s="580">
        <v>2.6</v>
      </c>
      <c r="J170" s="580">
        <v>19.100000000000001</v>
      </c>
      <c r="K170" s="580">
        <v>193</v>
      </c>
      <c r="L170" s="581">
        <v>10128000</v>
      </c>
      <c r="M170" s="581">
        <v>10169000</v>
      </c>
      <c r="N170" s="582">
        <f>Table35[[#This Row],[Total Income]]-Table35[[#This Row],[Total Expenditure]]</f>
        <v>-41000</v>
      </c>
      <c r="O170" s="581">
        <v>1093000</v>
      </c>
      <c r="Z170" s="581">
        <v>7234000</v>
      </c>
      <c r="AA170" s="595">
        <f>M170-Z170-Table35[[#This Row],[Maintenance &amp; Improvement]]-Table35[[#This Row],[Cleaning &amp; Caretaking]]-Table35[[#This Row],[Catering Supply]]</f>
        <v>2002000</v>
      </c>
      <c r="AB170" s="581">
        <v>456000</v>
      </c>
      <c r="AC170" s="594">
        <v>456000</v>
      </c>
      <c r="AD170" s="594">
        <v>236000</v>
      </c>
      <c r="AE170" s="594">
        <v>264000</v>
      </c>
      <c r="AF170" s="594">
        <v>0</v>
      </c>
      <c r="AG170" s="581">
        <v>956000</v>
      </c>
      <c r="AH170" s="581">
        <v>462000</v>
      </c>
      <c r="AI170" s="596">
        <v>221000</v>
      </c>
      <c r="AJ170" s="594">
        <v>241000</v>
      </c>
      <c r="AK170" s="594">
        <v>40000</v>
      </c>
      <c r="AL170" s="594">
        <v>40000</v>
      </c>
      <c r="AM170" s="594">
        <v>300000</v>
      </c>
      <c r="AN170" s="594">
        <v>30000</v>
      </c>
      <c r="AO170" s="594">
        <v>46000</v>
      </c>
      <c r="AP170" s="581">
        <v>918000</v>
      </c>
      <c r="AQ170" s="594">
        <v>365000</v>
      </c>
      <c r="AR170" s="594">
        <v>42000</v>
      </c>
      <c r="AS170" s="594">
        <v>151000</v>
      </c>
      <c r="AT170" s="594">
        <v>381000</v>
      </c>
      <c r="AU170" s="581">
        <v>1049000</v>
      </c>
      <c r="AV170" s="594">
        <v>365000</v>
      </c>
      <c r="AW170" s="594">
        <v>42000</v>
      </c>
      <c r="AX170" s="594">
        <v>151000</v>
      </c>
      <c r="AY170" s="581">
        <v>558000</v>
      </c>
      <c r="AZ170" s="594">
        <v>56000</v>
      </c>
      <c r="BA170" s="594">
        <v>54000</v>
      </c>
      <c r="BB170" s="581">
        <v>110000</v>
      </c>
      <c r="BC170" s="597">
        <f>Table35[[#This Row],[Total Expenditure]]/Table35[[#This Row],[Number of pupils (FTE)]]</f>
        <v>7907.4650077760498</v>
      </c>
      <c r="BD170" s="598">
        <f>Table35[[#This Row],[Total Staff Costs]]/Table35[[#This Row],[Number of pupils (FTE)]]</f>
        <v>5625.1944012441681</v>
      </c>
      <c r="BE170" s="598">
        <f>Table35[[#This Row],[Teaching staff]]/Table35[[#This Row],[Number of teachers in academy (FTE)]]</f>
        <v>0</v>
      </c>
      <c r="BF170" s="599">
        <f>Table35[[#This Row],[Number of pupils (FTE)]]/Table35[[#This Row],[Number of teachers in academy (FTE)]]</f>
        <v>17.164975974372663</v>
      </c>
      <c r="BG170" s="600">
        <f t="shared" si="20"/>
        <v>1556.7651632970451</v>
      </c>
      <c r="BH170" s="598">
        <f>Table35[[#This Row],[Premises Costs]]/Table35[[#This Row],[Number of pupils (FTE)]]</f>
        <v>743.39035769828922</v>
      </c>
      <c r="BI170" s="598">
        <f>Table35[[#This Row],[Maintenance &amp; Improvement Costs]]/Table35[[#This Row],[Number of pupils (FTE)]]</f>
        <v>354.5878693623639</v>
      </c>
      <c r="BJ170" s="598" t="e">
        <f>#REF!/E170</f>
        <v>#REF!</v>
      </c>
      <c r="BK170" s="598">
        <f t="shared" si="21"/>
        <v>31.104199066874028</v>
      </c>
      <c r="BL170" s="598">
        <f t="shared" si="22"/>
        <v>31.104199066874028</v>
      </c>
      <c r="BM170" s="598">
        <f t="shared" si="23"/>
        <v>233.28149300155522</v>
      </c>
      <c r="BN170" s="598">
        <f t="shared" si="24"/>
        <v>283.82581648522552</v>
      </c>
      <c r="BO170" s="598">
        <f t="shared" si="25"/>
        <v>32.65940902021773</v>
      </c>
      <c r="BP170" s="598">
        <f t="shared" si="26"/>
        <v>296.26749611197511</v>
      </c>
      <c r="BQ170" s="598">
        <f t="shared" si="27"/>
        <v>815.70762052877137</v>
      </c>
      <c r="BR170" s="598">
        <f t="shared" si="28"/>
        <v>433.90357698289267</v>
      </c>
      <c r="BS170" s="598">
        <f t="shared" si="29"/>
        <v>85.536547433903579</v>
      </c>
    </row>
    <row r="171" spans="1:71" ht="29" hidden="1" x14ac:dyDescent="0.35">
      <c r="A171" s="580">
        <v>925</v>
      </c>
      <c r="B171" s="580" t="s">
        <v>489</v>
      </c>
      <c r="C171" s="593" t="s">
        <v>721</v>
      </c>
      <c r="D171" s="593" t="s">
        <v>580</v>
      </c>
      <c r="E171" s="580">
        <v>817</v>
      </c>
      <c r="F171" s="580">
        <v>48.95</v>
      </c>
      <c r="G171" s="580" t="s">
        <v>644</v>
      </c>
      <c r="H171" s="580">
        <v>7.1</v>
      </c>
      <c r="I171" s="580">
        <v>0.9</v>
      </c>
      <c r="J171" s="580">
        <v>7.2</v>
      </c>
      <c r="K171" s="580">
        <v>208</v>
      </c>
      <c r="L171" s="581">
        <v>6023000</v>
      </c>
      <c r="M171" s="581">
        <v>5467000</v>
      </c>
      <c r="N171" s="582">
        <f>Table35[[#This Row],[Total Income]]-Table35[[#This Row],[Total Expenditure]]</f>
        <v>556000</v>
      </c>
      <c r="O171" s="581">
        <v>0</v>
      </c>
      <c r="Z171" s="581">
        <v>4064000</v>
      </c>
      <c r="AA171" s="595">
        <f>M171-Z171-Table35[[#This Row],[Maintenance &amp; Improvement]]-Table35[[#This Row],[Cleaning &amp; Caretaking]]-Table35[[#This Row],[Catering Supply]]</f>
        <v>1041000</v>
      </c>
      <c r="AB171" s="581">
        <v>201000</v>
      </c>
      <c r="AC171" s="594">
        <v>201000</v>
      </c>
      <c r="AD171" s="594">
        <v>22000</v>
      </c>
      <c r="AE171" s="594">
        <v>0</v>
      </c>
      <c r="AF171" s="594">
        <v>0</v>
      </c>
      <c r="AG171" s="581">
        <v>223000</v>
      </c>
      <c r="AH171" s="581">
        <v>139000</v>
      </c>
      <c r="AI171" s="596">
        <v>0</v>
      </c>
      <c r="AJ171" s="594">
        <v>139000</v>
      </c>
      <c r="AK171" s="594">
        <v>10000</v>
      </c>
      <c r="AL171" s="594">
        <v>28000</v>
      </c>
      <c r="AM171" s="594">
        <v>197000</v>
      </c>
      <c r="AN171" s="594">
        <v>0</v>
      </c>
      <c r="AO171" s="594">
        <v>43000</v>
      </c>
      <c r="AP171" s="581">
        <v>417000</v>
      </c>
      <c r="AQ171" s="594">
        <v>331000</v>
      </c>
      <c r="AR171" s="594">
        <v>64000</v>
      </c>
      <c r="AS171" s="594">
        <v>134000</v>
      </c>
      <c r="AT171" s="594">
        <v>218000</v>
      </c>
      <c r="AU171" s="581">
        <v>760000</v>
      </c>
      <c r="AV171" s="594">
        <v>331000</v>
      </c>
      <c r="AW171" s="594">
        <v>64000</v>
      </c>
      <c r="AX171" s="594">
        <v>134000</v>
      </c>
      <c r="AY171" s="581">
        <v>529000</v>
      </c>
      <c r="AZ171" s="594">
        <v>4000</v>
      </c>
      <c r="BA171" s="594">
        <v>9000</v>
      </c>
      <c r="BB171" s="581">
        <v>13000</v>
      </c>
      <c r="BC171" s="597">
        <f>Table35[[#This Row],[Total Expenditure]]/Table35[[#This Row],[Number of pupils (FTE)]]</f>
        <v>6691.5544675642595</v>
      </c>
      <c r="BD171" s="598">
        <f>Table35[[#This Row],[Total Staff Costs]]/Table35[[#This Row],[Number of pupils (FTE)]]</f>
        <v>4974.296205630355</v>
      </c>
      <c r="BE171" s="598">
        <f>Table35[[#This Row],[Teaching staff]]/Table35[[#This Row],[Number of teachers in academy (FTE)]]</f>
        <v>0</v>
      </c>
      <c r="BF171" s="599">
        <f>Table35[[#This Row],[Number of pupils (FTE)]]/Table35[[#This Row],[Number of teachers in academy (FTE)]]</f>
        <v>16.690500510725229</v>
      </c>
      <c r="BG171" s="600">
        <f t="shared" si="20"/>
        <v>1274.1738066095472</v>
      </c>
      <c r="BH171" s="598">
        <f>Table35[[#This Row],[Premises Costs]]/Table35[[#This Row],[Number of pupils (FTE)]]</f>
        <v>272.94981640146881</v>
      </c>
      <c r="BI171" s="598">
        <f>Table35[[#This Row],[Maintenance &amp; Improvement Costs]]/Table35[[#This Row],[Number of pupils (FTE)]]</f>
        <v>246.02203182374541</v>
      </c>
      <c r="BJ171" s="598" t="e">
        <f>#REF!/E171</f>
        <v>#REF!</v>
      </c>
      <c r="BK171" s="598">
        <f t="shared" si="21"/>
        <v>12.239902080783354</v>
      </c>
      <c r="BL171" s="598">
        <f t="shared" si="22"/>
        <v>34.271725826193389</v>
      </c>
      <c r="BM171" s="598">
        <f t="shared" si="23"/>
        <v>241.12607099143207</v>
      </c>
      <c r="BN171" s="598">
        <f t="shared" si="24"/>
        <v>405.14075887392903</v>
      </c>
      <c r="BO171" s="598">
        <f t="shared" si="25"/>
        <v>78.335373317013463</v>
      </c>
      <c r="BP171" s="598">
        <f t="shared" si="26"/>
        <v>266.82986536107711</v>
      </c>
      <c r="BQ171" s="598">
        <f t="shared" si="27"/>
        <v>930.23255813953483</v>
      </c>
      <c r="BR171" s="598">
        <f t="shared" si="28"/>
        <v>647.49082007343941</v>
      </c>
      <c r="BS171" s="598">
        <f t="shared" si="29"/>
        <v>15.911872705018359</v>
      </c>
    </row>
    <row r="172" spans="1:71" ht="29" hidden="1" x14ac:dyDescent="0.35">
      <c r="A172" s="580">
        <v>925</v>
      </c>
      <c r="B172" s="580" t="s">
        <v>489</v>
      </c>
      <c r="C172" s="593" t="s">
        <v>722</v>
      </c>
      <c r="D172" s="593" t="s">
        <v>723</v>
      </c>
      <c r="E172" s="580">
        <v>659</v>
      </c>
      <c r="F172" s="580">
        <v>33.5</v>
      </c>
      <c r="G172" s="580" t="s">
        <v>644</v>
      </c>
      <c r="H172" s="580">
        <v>27.9</v>
      </c>
      <c r="I172" s="580">
        <v>2.4</v>
      </c>
      <c r="J172" s="580">
        <v>17.8</v>
      </c>
      <c r="K172" s="580">
        <v>59</v>
      </c>
      <c r="L172" s="581">
        <v>5228000</v>
      </c>
      <c r="M172" s="581">
        <v>5422000</v>
      </c>
      <c r="N172" s="582">
        <f>Table35[[#This Row],[Total Income]]-Table35[[#This Row],[Total Expenditure]]</f>
        <v>-194000</v>
      </c>
      <c r="O172" s="581">
        <v>111000</v>
      </c>
      <c r="Z172" s="581">
        <v>4041000</v>
      </c>
      <c r="AA172" s="595">
        <f>M172-Z172-Table35[[#This Row],[Maintenance &amp; Improvement]]-Table35[[#This Row],[Cleaning &amp; Caretaking]]-Table35[[#This Row],[Catering Supply]]</f>
        <v>1017000</v>
      </c>
      <c r="AB172" s="581">
        <v>75000</v>
      </c>
      <c r="AC172" s="594">
        <v>75000</v>
      </c>
      <c r="AD172" s="594">
        <v>161000</v>
      </c>
      <c r="AE172" s="594">
        <v>143000</v>
      </c>
      <c r="AF172" s="594">
        <v>0</v>
      </c>
      <c r="AG172" s="581">
        <v>379000</v>
      </c>
      <c r="AH172" s="581">
        <v>249000</v>
      </c>
      <c r="AI172" s="596">
        <v>121000</v>
      </c>
      <c r="AJ172" s="594">
        <v>128000</v>
      </c>
      <c r="AK172" s="594">
        <v>12000</v>
      </c>
      <c r="AL172" s="594">
        <v>40000</v>
      </c>
      <c r="AM172" s="594">
        <v>208000</v>
      </c>
      <c r="AN172" s="594">
        <v>19000</v>
      </c>
      <c r="AO172" s="594">
        <v>35000</v>
      </c>
      <c r="AP172" s="581">
        <v>563000</v>
      </c>
      <c r="AQ172" s="594">
        <v>121000</v>
      </c>
      <c r="AR172" s="594">
        <v>38000</v>
      </c>
      <c r="AS172" s="594">
        <v>89000</v>
      </c>
      <c r="AT172" s="594">
        <v>117000</v>
      </c>
      <c r="AU172" s="581">
        <v>432000</v>
      </c>
      <c r="AV172" s="594">
        <v>121000</v>
      </c>
      <c r="AW172" s="594">
        <v>38000</v>
      </c>
      <c r="AX172" s="594">
        <v>89000</v>
      </c>
      <c r="AY172" s="581">
        <v>248000</v>
      </c>
      <c r="AZ172" s="594">
        <v>23000</v>
      </c>
      <c r="BA172" s="594">
        <v>44000</v>
      </c>
      <c r="BB172" s="581">
        <v>67000</v>
      </c>
      <c r="BC172" s="597">
        <f>Table35[[#This Row],[Total Expenditure]]/Table35[[#This Row],[Number of pupils (FTE)]]</f>
        <v>8227.6176024279212</v>
      </c>
      <c r="BD172" s="598">
        <f>Table35[[#This Row],[Total Staff Costs]]/Table35[[#This Row],[Number of pupils (FTE)]]</f>
        <v>6132.0182094081938</v>
      </c>
      <c r="BE172" s="598">
        <f>Table35[[#This Row],[Teaching staff]]/Table35[[#This Row],[Number of teachers in academy (FTE)]]</f>
        <v>0</v>
      </c>
      <c r="BF172" s="599">
        <f>Table35[[#This Row],[Number of pupils (FTE)]]/Table35[[#This Row],[Number of teachers in academy (FTE)]]</f>
        <v>19.671641791044777</v>
      </c>
      <c r="BG172" s="600">
        <f t="shared" si="20"/>
        <v>1543.2473444613049</v>
      </c>
      <c r="BH172" s="598">
        <f>Table35[[#This Row],[Premises Costs]]/Table35[[#This Row],[Number of pupils (FTE)]]</f>
        <v>575.11380880121396</v>
      </c>
      <c r="BI172" s="598">
        <f>Table35[[#This Row],[Maintenance &amp; Improvement Costs]]/Table35[[#This Row],[Number of pupils (FTE)]]</f>
        <v>113.80880121396055</v>
      </c>
      <c r="BJ172" s="598" t="e">
        <f>#REF!/E172</f>
        <v>#REF!</v>
      </c>
      <c r="BK172" s="598">
        <f t="shared" si="21"/>
        <v>18.209408194233689</v>
      </c>
      <c r="BL172" s="598">
        <f t="shared" si="22"/>
        <v>60.698027314112288</v>
      </c>
      <c r="BM172" s="598">
        <f t="shared" si="23"/>
        <v>315.62974203338393</v>
      </c>
      <c r="BN172" s="598">
        <f t="shared" si="24"/>
        <v>183.61153262518968</v>
      </c>
      <c r="BO172" s="598">
        <f t="shared" si="25"/>
        <v>57.66312594840668</v>
      </c>
      <c r="BP172" s="598">
        <f t="shared" si="26"/>
        <v>177.54172989377844</v>
      </c>
      <c r="BQ172" s="598">
        <f t="shared" si="27"/>
        <v>655.53869499241273</v>
      </c>
      <c r="BR172" s="598">
        <f t="shared" si="28"/>
        <v>376.3277693474962</v>
      </c>
      <c r="BS172" s="598">
        <f t="shared" si="29"/>
        <v>101.66919575113809</v>
      </c>
    </row>
    <row r="173" spans="1:71" ht="29" hidden="1" x14ac:dyDescent="0.35">
      <c r="A173" s="580">
        <v>925</v>
      </c>
      <c r="B173" s="580" t="s">
        <v>489</v>
      </c>
      <c r="C173" s="593" t="s">
        <v>724</v>
      </c>
      <c r="D173" s="593" t="s">
        <v>725</v>
      </c>
      <c r="E173" s="580">
        <v>1308</v>
      </c>
      <c r="F173" s="580">
        <v>79.55</v>
      </c>
      <c r="G173" s="580" t="s">
        <v>644</v>
      </c>
      <c r="H173" s="580">
        <v>16.3</v>
      </c>
      <c r="I173" s="580">
        <v>1.2</v>
      </c>
      <c r="J173" s="580">
        <v>15.7</v>
      </c>
      <c r="K173" s="580">
        <v>128</v>
      </c>
      <c r="L173" s="581">
        <v>9034000</v>
      </c>
      <c r="M173" s="581">
        <v>8812000</v>
      </c>
      <c r="N173" s="582">
        <f>Table35[[#This Row],[Total Income]]-Table35[[#This Row],[Total Expenditure]]</f>
        <v>222000</v>
      </c>
      <c r="O173" s="581">
        <v>331000</v>
      </c>
      <c r="Z173" s="581">
        <v>6706000</v>
      </c>
      <c r="AA173" s="595">
        <f>M173-Z173-Table35[[#This Row],[Maintenance &amp; Improvement]]-Table35[[#This Row],[Cleaning &amp; Caretaking]]-Table35[[#This Row],[Catering Supply]]</f>
        <v>1438000</v>
      </c>
      <c r="AB173" s="581">
        <v>182000</v>
      </c>
      <c r="AC173" s="594">
        <v>182000</v>
      </c>
      <c r="AD173" s="594">
        <v>185000</v>
      </c>
      <c r="AE173" s="594">
        <v>155000</v>
      </c>
      <c r="AF173" s="594">
        <v>0</v>
      </c>
      <c r="AG173" s="581">
        <v>522000</v>
      </c>
      <c r="AH173" s="581">
        <v>353000</v>
      </c>
      <c r="AI173" s="596">
        <v>52000</v>
      </c>
      <c r="AJ173" s="594">
        <v>301000</v>
      </c>
      <c r="AK173" s="594">
        <v>0</v>
      </c>
      <c r="AL173" s="594">
        <v>31000</v>
      </c>
      <c r="AM173" s="594">
        <v>141000</v>
      </c>
      <c r="AN173" s="594">
        <v>32000</v>
      </c>
      <c r="AO173" s="594">
        <v>0</v>
      </c>
      <c r="AP173" s="581">
        <v>557000</v>
      </c>
      <c r="AQ173" s="594">
        <v>449000</v>
      </c>
      <c r="AR173" s="594">
        <v>86000</v>
      </c>
      <c r="AS173" s="594">
        <v>133000</v>
      </c>
      <c r="AT173" s="594">
        <v>248000</v>
      </c>
      <c r="AU173" s="581">
        <v>1027000</v>
      </c>
      <c r="AV173" s="594">
        <v>449000</v>
      </c>
      <c r="AW173" s="594">
        <v>86000</v>
      </c>
      <c r="AX173" s="594">
        <v>133000</v>
      </c>
      <c r="AY173" s="581">
        <v>668000</v>
      </c>
      <c r="AZ173" s="594">
        <v>61000</v>
      </c>
      <c r="BA173" s="594">
        <v>50000</v>
      </c>
      <c r="BB173" s="581">
        <v>111000</v>
      </c>
      <c r="BC173" s="597">
        <f>Table35[[#This Row],[Total Expenditure]]/Table35[[#This Row],[Number of pupils (FTE)]]</f>
        <v>6737.0030581039755</v>
      </c>
      <c r="BD173" s="598">
        <f>Table35[[#This Row],[Total Staff Costs]]/Table35[[#This Row],[Number of pupils (FTE)]]</f>
        <v>5126.9113149847099</v>
      </c>
      <c r="BE173" s="598">
        <f>Table35[[#This Row],[Teaching staff]]/Table35[[#This Row],[Number of teachers in academy (FTE)]]</f>
        <v>0</v>
      </c>
      <c r="BF173" s="599">
        <f>Table35[[#This Row],[Number of pupils (FTE)]]/Table35[[#This Row],[Number of teachers in academy (FTE)]]</f>
        <v>16.442489000628537</v>
      </c>
      <c r="BG173" s="600">
        <f t="shared" si="20"/>
        <v>1099.388379204893</v>
      </c>
      <c r="BH173" s="598">
        <f>Table35[[#This Row],[Premises Costs]]/Table35[[#This Row],[Number of pupils (FTE)]]</f>
        <v>399.08256880733944</v>
      </c>
      <c r="BI173" s="598">
        <f>Table35[[#This Row],[Maintenance &amp; Improvement Costs]]/Table35[[#This Row],[Number of pupils (FTE)]]</f>
        <v>139.14373088685016</v>
      </c>
      <c r="BJ173" s="598" t="e">
        <f>#REF!/E173</f>
        <v>#REF!</v>
      </c>
      <c r="BK173" s="598">
        <f t="shared" si="21"/>
        <v>0</v>
      </c>
      <c r="BL173" s="598">
        <f t="shared" si="22"/>
        <v>23.700305810397552</v>
      </c>
      <c r="BM173" s="598">
        <f t="shared" si="23"/>
        <v>107.79816513761467</v>
      </c>
      <c r="BN173" s="598">
        <f t="shared" si="24"/>
        <v>343.27217125382265</v>
      </c>
      <c r="BO173" s="598">
        <f t="shared" si="25"/>
        <v>65.749235474006113</v>
      </c>
      <c r="BP173" s="598">
        <f t="shared" si="26"/>
        <v>189.60244648318042</v>
      </c>
      <c r="BQ173" s="598">
        <f t="shared" si="27"/>
        <v>785.16819571865449</v>
      </c>
      <c r="BR173" s="598">
        <f t="shared" si="28"/>
        <v>510.70336391437309</v>
      </c>
      <c r="BS173" s="598">
        <f t="shared" si="29"/>
        <v>84.862385321100916</v>
      </c>
    </row>
    <row r="174" spans="1:71" ht="43.5" hidden="1" x14ac:dyDescent="0.35">
      <c r="A174" s="580">
        <v>925</v>
      </c>
      <c r="B174" s="580" t="s">
        <v>489</v>
      </c>
      <c r="C174" s="593" t="s">
        <v>726</v>
      </c>
      <c r="D174" s="593" t="s">
        <v>727</v>
      </c>
      <c r="E174" s="580">
        <v>1444</v>
      </c>
      <c r="F174" s="580">
        <v>85.36</v>
      </c>
      <c r="G174" s="580" t="s">
        <v>644</v>
      </c>
      <c r="H174" s="580">
        <v>14.3</v>
      </c>
      <c r="I174" s="580">
        <v>3.7</v>
      </c>
      <c r="J174" s="580">
        <v>10.8</v>
      </c>
      <c r="K174" s="580">
        <v>232</v>
      </c>
      <c r="L174" s="581">
        <v>10101000</v>
      </c>
      <c r="M174" s="581">
        <v>10239000</v>
      </c>
      <c r="N174" s="582">
        <f>Table35[[#This Row],[Total Income]]-Table35[[#This Row],[Total Expenditure]]</f>
        <v>-138000</v>
      </c>
      <c r="O174" s="581">
        <v>657000</v>
      </c>
      <c r="Z174" s="581">
        <v>7842000</v>
      </c>
      <c r="AA174" s="595">
        <f>M174-Z174-Table35[[#This Row],[Maintenance &amp; Improvement]]-Table35[[#This Row],[Cleaning &amp; Caretaking]]-Table35[[#This Row],[Catering Supply]]</f>
        <v>1847000</v>
      </c>
      <c r="AB174" s="581">
        <v>118000</v>
      </c>
      <c r="AC174" s="594">
        <v>118000</v>
      </c>
      <c r="AD174" s="594">
        <v>146000</v>
      </c>
      <c r="AE174" s="594">
        <v>243000</v>
      </c>
      <c r="AF174" s="594">
        <v>0</v>
      </c>
      <c r="AG174" s="581">
        <v>507000</v>
      </c>
      <c r="AH174" s="581">
        <v>527000</v>
      </c>
      <c r="AI174" s="596">
        <v>241000</v>
      </c>
      <c r="AJ174" s="594">
        <v>286000</v>
      </c>
      <c r="AK174" s="594">
        <v>49000</v>
      </c>
      <c r="AL174" s="594">
        <v>58000</v>
      </c>
      <c r="AM174" s="594">
        <v>278000</v>
      </c>
      <c r="AN174" s="594">
        <v>35000</v>
      </c>
      <c r="AO174" s="594">
        <v>14000</v>
      </c>
      <c r="AP174" s="581">
        <v>961000</v>
      </c>
      <c r="AQ174" s="594">
        <v>319000</v>
      </c>
      <c r="AR174" s="594">
        <v>122000</v>
      </c>
      <c r="AS174" s="594">
        <v>151000</v>
      </c>
      <c r="AT174" s="594">
        <v>174000</v>
      </c>
      <c r="AU174" s="581">
        <v>929000</v>
      </c>
      <c r="AV174" s="594">
        <v>319000</v>
      </c>
      <c r="AW174" s="594">
        <v>122000</v>
      </c>
      <c r="AX174" s="594">
        <v>151000</v>
      </c>
      <c r="AY174" s="581">
        <v>592000</v>
      </c>
      <c r="AZ174" s="594">
        <v>1000</v>
      </c>
      <c r="BA174" s="594">
        <v>162000</v>
      </c>
      <c r="BB174" s="581">
        <v>163000</v>
      </c>
      <c r="BC174" s="597">
        <f>Table35[[#This Row],[Total Expenditure]]/Table35[[#This Row],[Number of pupils (FTE)]]</f>
        <v>7090.720221606648</v>
      </c>
      <c r="BD174" s="598">
        <f>Table35[[#This Row],[Total Staff Costs]]/Table35[[#This Row],[Number of pupils (FTE)]]</f>
        <v>5430.747922437673</v>
      </c>
      <c r="BE174" s="598">
        <f>Table35[[#This Row],[Teaching staff]]/Table35[[#This Row],[Number of teachers in academy (FTE)]]</f>
        <v>0</v>
      </c>
      <c r="BF174" s="599">
        <f>Table35[[#This Row],[Number of pupils (FTE)]]/Table35[[#This Row],[Number of teachers in academy (FTE)]]</f>
        <v>16.916588566073102</v>
      </c>
      <c r="BG174" s="600">
        <f t="shared" si="20"/>
        <v>1279.0858725761773</v>
      </c>
      <c r="BH174" s="598">
        <f>Table35[[#This Row],[Premises Costs]]/Table35[[#This Row],[Number of pupils (FTE)]]</f>
        <v>351.1080332409972</v>
      </c>
      <c r="BI174" s="598">
        <f>Table35[[#This Row],[Maintenance &amp; Improvement Costs]]/Table35[[#This Row],[Number of pupils (FTE)]]</f>
        <v>81.717451523545705</v>
      </c>
      <c r="BJ174" s="598" t="e">
        <f>#REF!/E174</f>
        <v>#REF!</v>
      </c>
      <c r="BK174" s="598">
        <f t="shared" si="21"/>
        <v>33.933518005540165</v>
      </c>
      <c r="BL174" s="598">
        <f t="shared" si="22"/>
        <v>40.166204986149587</v>
      </c>
      <c r="BM174" s="598">
        <f t="shared" si="23"/>
        <v>192.52077562326869</v>
      </c>
      <c r="BN174" s="598">
        <f t="shared" si="24"/>
        <v>220.91412742382272</v>
      </c>
      <c r="BO174" s="598">
        <f t="shared" si="25"/>
        <v>84.48753462603878</v>
      </c>
      <c r="BP174" s="598">
        <f t="shared" si="26"/>
        <v>120.49861495844875</v>
      </c>
      <c r="BQ174" s="598">
        <f t="shared" si="27"/>
        <v>643.35180055401668</v>
      </c>
      <c r="BR174" s="598">
        <f t="shared" si="28"/>
        <v>409.97229916897504</v>
      </c>
      <c r="BS174" s="598">
        <f t="shared" si="29"/>
        <v>112.8808864265928</v>
      </c>
    </row>
    <row r="175" spans="1:71" ht="29" hidden="1" x14ac:dyDescent="0.35">
      <c r="A175" s="580">
        <v>925</v>
      </c>
      <c r="B175" s="580" t="s">
        <v>489</v>
      </c>
      <c r="C175" s="593" t="s">
        <v>728</v>
      </c>
      <c r="D175" s="593" t="s">
        <v>729</v>
      </c>
      <c r="E175" s="580">
        <v>1243</v>
      </c>
      <c r="F175" s="580">
        <v>70.58</v>
      </c>
      <c r="G175" s="580" t="s">
        <v>644</v>
      </c>
      <c r="H175" s="580">
        <v>18</v>
      </c>
      <c r="I175" s="580">
        <v>2.6</v>
      </c>
      <c r="J175" s="580">
        <v>14.4</v>
      </c>
      <c r="K175" s="580">
        <v>163</v>
      </c>
      <c r="L175" s="581">
        <v>10232000</v>
      </c>
      <c r="M175" s="581">
        <v>9602000</v>
      </c>
      <c r="N175" s="582">
        <f>Table35[[#This Row],[Total Income]]-Table35[[#This Row],[Total Expenditure]]</f>
        <v>630000</v>
      </c>
      <c r="O175" s="581">
        <v>894000</v>
      </c>
      <c r="Z175" s="581">
        <v>7234000</v>
      </c>
      <c r="AA175" s="595">
        <f>M175-Z175-Table35[[#This Row],[Maintenance &amp; Improvement]]-Table35[[#This Row],[Cleaning &amp; Caretaking]]-Table35[[#This Row],[Catering Supply]]</f>
        <v>1794000</v>
      </c>
      <c r="AB175" s="581">
        <v>195000</v>
      </c>
      <c r="AC175" s="594">
        <v>195000</v>
      </c>
      <c r="AD175" s="594">
        <v>73000</v>
      </c>
      <c r="AE175" s="594">
        <v>342000</v>
      </c>
      <c r="AF175" s="594">
        <v>0</v>
      </c>
      <c r="AG175" s="581">
        <v>610000</v>
      </c>
      <c r="AH175" s="581">
        <v>335000</v>
      </c>
      <c r="AI175" s="596">
        <v>29000</v>
      </c>
      <c r="AJ175" s="594">
        <v>306000</v>
      </c>
      <c r="AK175" s="594">
        <v>0</v>
      </c>
      <c r="AL175" s="594">
        <v>65000</v>
      </c>
      <c r="AM175" s="594">
        <v>324000</v>
      </c>
      <c r="AN175" s="594">
        <v>32000</v>
      </c>
      <c r="AO175" s="594">
        <v>0</v>
      </c>
      <c r="AP175" s="581">
        <v>756000</v>
      </c>
      <c r="AQ175" s="594">
        <v>505000</v>
      </c>
      <c r="AR175" s="594">
        <v>22000</v>
      </c>
      <c r="AS175" s="594">
        <v>165000</v>
      </c>
      <c r="AT175" s="594">
        <v>275000</v>
      </c>
      <c r="AU175" s="581">
        <v>1002000</v>
      </c>
      <c r="AV175" s="594">
        <v>505000</v>
      </c>
      <c r="AW175" s="594">
        <v>22000</v>
      </c>
      <c r="AX175" s="594">
        <v>165000</v>
      </c>
      <c r="AY175" s="581">
        <v>692000</v>
      </c>
      <c r="AZ175" s="594">
        <v>0</v>
      </c>
      <c r="BA175" s="594">
        <v>35000</v>
      </c>
      <c r="BB175" s="581">
        <v>35000</v>
      </c>
      <c r="BC175" s="597">
        <f>Table35[[#This Row],[Total Expenditure]]/Table35[[#This Row],[Number of pupils (FTE)]]</f>
        <v>7724.8592115848751</v>
      </c>
      <c r="BD175" s="598">
        <f>Table35[[#This Row],[Total Staff Costs]]/Table35[[#This Row],[Number of pupils (FTE)]]</f>
        <v>5819.7908286403863</v>
      </c>
      <c r="BE175" s="598">
        <f>Table35[[#This Row],[Teaching staff]]/Table35[[#This Row],[Number of teachers in academy (FTE)]]</f>
        <v>0</v>
      </c>
      <c r="BF175" s="599">
        <f>Table35[[#This Row],[Number of pupils (FTE)]]/Table35[[#This Row],[Number of teachers in academy (FTE)]]</f>
        <v>17.611221309152736</v>
      </c>
      <c r="BG175" s="600">
        <f t="shared" si="20"/>
        <v>1443.2823813354787</v>
      </c>
      <c r="BH175" s="598">
        <f>Table35[[#This Row],[Premises Costs]]/Table35[[#This Row],[Number of pupils (FTE)]]</f>
        <v>490.74818986323413</v>
      </c>
      <c r="BI175" s="598">
        <f>Table35[[#This Row],[Maintenance &amp; Improvement Costs]]/Table35[[#This Row],[Number of pupils (FTE)]]</f>
        <v>156.87851971037813</v>
      </c>
      <c r="BJ175" s="598" t="e">
        <f>#REF!/E175</f>
        <v>#REF!</v>
      </c>
      <c r="BK175" s="598">
        <f t="shared" si="21"/>
        <v>0</v>
      </c>
      <c r="BL175" s="598">
        <f t="shared" si="22"/>
        <v>52.292839903459374</v>
      </c>
      <c r="BM175" s="598">
        <f t="shared" si="23"/>
        <v>260.65969428801287</v>
      </c>
      <c r="BN175" s="598">
        <f t="shared" si="24"/>
        <v>406.27514078841511</v>
      </c>
      <c r="BO175" s="598">
        <f t="shared" si="25"/>
        <v>17.699115044247787</v>
      </c>
      <c r="BP175" s="598">
        <f t="shared" si="26"/>
        <v>221.23893805309734</v>
      </c>
      <c r="BQ175" s="598">
        <f t="shared" si="27"/>
        <v>806.11423974255831</v>
      </c>
      <c r="BR175" s="598">
        <f t="shared" si="28"/>
        <v>556.7176186645213</v>
      </c>
      <c r="BS175" s="598">
        <f t="shared" si="29"/>
        <v>28.157683024939661</v>
      </c>
    </row>
    <row r="176" spans="1:71" ht="29" hidden="1" x14ac:dyDescent="0.35">
      <c r="A176" s="580">
        <v>925</v>
      </c>
      <c r="B176" s="580" t="s">
        <v>489</v>
      </c>
      <c r="C176" s="593" t="s">
        <v>730</v>
      </c>
      <c r="D176" s="593" t="s">
        <v>502</v>
      </c>
      <c r="E176" s="580">
        <v>1028</v>
      </c>
      <c r="F176" s="580">
        <v>60.8</v>
      </c>
      <c r="G176" s="580" t="s">
        <v>644</v>
      </c>
      <c r="H176" s="580">
        <v>20.5</v>
      </c>
      <c r="I176" s="580">
        <v>4.3</v>
      </c>
      <c r="J176" s="580">
        <v>12.9</v>
      </c>
      <c r="K176" s="580">
        <v>109</v>
      </c>
      <c r="L176" s="581">
        <v>8238000</v>
      </c>
      <c r="M176" s="581">
        <v>7414000</v>
      </c>
      <c r="N176" s="582">
        <f>Table35[[#This Row],[Total Income]]-Table35[[#This Row],[Total Expenditure]]</f>
        <v>824000</v>
      </c>
      <c r="O176" s="581">
        <v>1136000</v>
      </c>
      <c r="Z176" s="581">
        <v>5184000</v>
      </c>
      <c r="AA176" s="595">
        <f>M176-Z176-Table35[[#This Row],[Maintenance &amp; Improvement]]-Table35[[#This Row],[Cleaning &amp; Caretaking]]-Table35[[#This Row],[Catering Supply]]</f>
        <v>1828000</v>
      </c>
      <c r="AB176" s="581">
        <v>99000</v>
      </c>
      <c r="AC176" s="594">
        <v>99000</v>
      </c>
      <c r="AD176" s="594">
        <v>97000</v>
      </c>
      <c r="AE176" s="594">
        <v>85000</v>
      </c>
      <c r="AF176" s="594">
        <v>0</v>
      </c>
      <c r="AG176" s="581">
        <v>281000</v>
      </c>
      <c r="AH176" s="581">
        <v>374000</v>
      </c>
      <c r="AI176" s="596">
        <v>168000</v>
      </c>
      <c r="AJ176" s="594">
        <v>206000</v>
      </c>
      <c r="AK176" s="594">
        <v>9000</v>
      </c>
      <c r="AL176" s="594">
        <v>23000</v>
      </c>
      <c r="AM176" s="594">
        <v>137000</v>
      </c>
      <c r="AN176" s="594">
        <v>24000</v>
      </c>
      <c r="AO176" s="594">
        <v>14000</v>
      </c>
      <c r="AP176" s="581">
        <v>581000</v>
      </c>
      <c r="AQ176" s="594">
        <v>464000</v>
      </c>
      <c r="AR176" s="594">
        <v>0</v>
      </c>
      <c r="AS176" s="594">
        <v>130000</v>
      </c>
      <c r="AT176" s="594">
        <v>764000</v>
      </c>
      <c r="AU176" s="581">
        <v>1366000</v>
      </c>
      <c r="AV176" s="594">
        <v>464000</v>
      </c>
      <c r="AW176" s="594">
        <v>0</v>
      </c>
      <c r="AX176" s="594">
        <v>130000</v>
      </c>
      <c r="AY176" s="581">
        <v>594000</v>
      </c>
      <c r="AZ176" s="594">
        <v>8000</v>
      </c>
      <c r="BA176" s="594">
        <v>0</v>
      </c>
      <c r="BB176" s="581">
        <v>8000</v>
      </c>
      <c r="BC176" s="597">
        <f>Table35[[#This Row],[Total Expenditure]]/Table35[[#This Row],[Number of pupils (FTE)]]</f>
        <v>7212.0622568093386</v>
      </c>
      <c r="BD176" s="598">
        <f>Table35[[#This Row],[Total Staff Costs]]/Table35[[#This Row],[Number of pupils (FTE)]]</f>
        <v>5042.8015564202333</v>
      </c>
      <c r="BE176" s="598">
        <f>Table35[[#This Row],[Teaching staff]]/Table35[[#This Row],[Number of teachers in academy (FTE)]]</f>
        <v>0</v>
      </c>
      <c r="BF176" s="599">
        <f>Table35[[#This Row],[Number of pupils (FTE)]]/Table35[[#This Row],[Number of teachers in academy (FTE)]]</f>
        <v>16.907894736842106</v>
      </c>
      <c r="BG176" s="600">
        <f t="shared" si="20"/>
        <v>1778.2101167315175</v>
      </c>
      <c r="BH176" s="598">
        <f>Table35[[#This Row],[Premises Costs]]/Table35[[#This Row],[Number of pupils (FTE)]]</f>
        <v>273.3463035019455</v>
      </c>
      <c r="BI176" s="598">
        <f>Table35[[#This Row],[Maintenance &amp; Improvement Costs]]/Table35[[#This Row],[Number of pupils (FTE)]]</f>
        <v>96.303501945525298</v>
      </c>
      <c r="BJ176" s="598" t="e">
        <f>#REF!/E176</f>
        <v>#REF!</v>
      </c>
      <c r="BK176" s="598">
        <f t="shared" si="21"/>
        <v>8.7548638132295729</v>
      </c>
      <c r="BL176" s="598">
        <f t="shared" si="22"/>
        <v>22.373540856031127</v>
      </c>
      <c r="BM176" s="598">
        <f t="shared" si="23"/>
        <v>133.26848249027236</v>
      </c>
      <c r="BN176" s="598">
        <f t="shared" si="24"/>
        <v>451.36186770428014</v>
      </c>
      <c r="BO176" s="598">
        <f t="shared" si="25"/>
        <v>0</v>
      </c>
      <c r="BP176" s="598">
        <f t="shared" si="26"/>
        <v>743.19066147859917</v>
      </c>
      <c r="BQ176" s="598">
        <f t="shared" si="27"/>
        <v>1328.7937743190662</v>
      </c>
      <c r="BR176" s="598">
        <f t="shared" si="28"/>
        <v>577.8210116731517</v>
      </c>
      <c r="BS176" s="598">
        <f t="shared" si="29"/>
        <v>7.782101167315175</v>
      </c>
    </row>
    <row r="177" spans="1:71" ht="43.5" hidden="1" x14ac:dyDescent="0.35">
      <c r="A177" s="580">
        <v>925</v>
      </c>
      <c r="B177" s="580" t="s">
        <v>489</v>
      </c>
      <c r="C177" s="593" t="s">
        <v>731</v>
      </c>
      <c r="D177" s="593" t="s">
        <v>630</v>
      </c>
      <c r="E177" s="580">
        <v>602</v>
      </c>
      <c r="F177" s="580">
        <v>37.5</v>
      </c>
      <c r="G177" s="580" t="s">
        <v>644</v>
      </c>
      <c r="H177" s="580">
        <v>31.7</v>
      </c>
      <c r="I177" s="580">
        <v>8</v>
      </c>
      <c r="J177" s="580">
        <v>19.600000000000001</v>
      </c>
      <c r="K177" s="580">
        <v>50</v>
      </c>
      <c r="L177" s="581">
        <v>5075000</v>
      </c>
      <c r="M177" s="581">
        <v>5455000</v>
      </c>
      <c r="N177" s="582">
        <f>Table35[[#This Row],[Total Income]]-Table35[[#This Row],[Total Expenditure]]</f>
        <v>-380000</v>
      </c>
      <c r="O177" s="581">
        <v>0</v>
      </c>
      <c r="Z177" s="581">
        <v>3758000</v>
      </c>
      <c r="AA177" s="595">
        <f>M177-Z177-Table35[[#This Row],[Maintenance &amp; Improvement]]-Table35[[#This Row],[Cleaning &amp; Caretaking]]-Table35[[#This Row],[Catering Supply]]</f>
        <v>1564000</v>
      </c>
      <c r="AB177" s="581">
        <v>24000</v>
      </c>
      <c r="AC177" s="594">
        <v>24000</v>
      </c>
      <c r="AD177" s="594">
        <v>5000</v>
      </c>
      <c r="AE177" s="594">
        <v>163000</v>
      </c>
      <c r="AF177" s="594">
        <v>0</v>
      </c>
      <c r="AG177" s="581">
        <v>192000</v>
      </c>
      <c r="AH177" s="581">
        <v>212000</v>
      </c>
      <c r="AI177" s="596">
        <v>108000</v>
      </c>
      <c r="AJ177" s="594">
        <v>104000</v>
      </c>
      <c r="AK177" s="594">
        <v>7000</v>
      </c>
      <c r="AL177" s="594">
        <v>9000</v>
      </c>
      <c r="AM177" s="594">
        <v>121000</v>
      </c>
      <c r="AN177" s="594">
        <v>13000</v>
      </c>
      <c r="AO177" s="594">
        <v>17000</v>
      </c>
      <c r="AP177" s="581">
        <v>379000</v>
      </c>
      <c r="AQ177" s="594">
        <v>80000</v>
      </c>
      <c r="AR177" s="594">
        <v>14000</v>
      </c>
      <c r="AS177" s="594">
        <v>64000</v>
      </c>
      <c r="AT177" s="594">
        <v>816000</v>
      </c>
      <c r="AU177" s="581">
        <v>1126000</v>
      </c>
      <c r="AV177" s="594">
        <v>80000</v>
      </c>
      <c r="AW177" s="594">
        <v>14000</v>
      </c>
      <c r="AX177" s="594">
        <v>64000</v>
      </c>
      <c r="AY177" s="581">
        <v>158000</v>
      </c>
      <c r="AZ177" s="594">
        <v>144000</v>
      </c>
      <c r="BA177" s="594">
        <v>8000</v>
      </c>
      <c r="BB177" s="581">
        <v>152000</v>
      </c>
      <c r="BC177" s="597">
        <f>Table35[[#This Row],[Total Expenditure]]/Table35[[#This Row],[Number of pupils (FTE)]]</f>
        <v>9061.4617940199332</v>
      </c>
      <c r="BD177" s="598">
        <f>Table35[[#This Row],[Total Staff Costs]]/Table35[[#This Row],[Number of pupils (FTE)]]</f>
        <v>6242.5249169435219</v>
      </c>
      <c r="BE177" s="598">
        <f>Table35[[#This Row],[Teaching staff]]/Table35[[#This Row],[Number of teachers in academy (FTE)]]</f>
        <v>0</v>
      </c>
      <c r="BF177" s="599">
        <f>Table35[[#This Row],[Number of pupils (FTE)]]/Table35[[#This Row],[Number of teachers in academy (FTE)]]</f>
        <v>16.053333333333335</v>
      </c>
      <c r="BG177" s="600">
        <f t="shared" si="20"/>
        <v>2598.0066445182724</v>
      </c>
      <c r="BH177" s="598">
        <f>Table35[[#This Row],[Premises Costs]]/Table35[[#This Row],[Number of pupils (FTE)]]</f>
        <v>318.93687707641197</v>
      </c>
      <c r="BI177" s="598">
        <f>Table35[[#This Row],[Maintenance &amp; Improvement Costs]]/Table35[[#This Row],[Number of pupils (FTE)]]</f>
        <v>39.867109634551497</v>
      </c>
      <c r="BJ177" s="598" t="e">
        <f>#REF!/E177</f>
        <v>#REF!</v>
      </c>
      <c r="BK177" s="598">
        <f t="shared" si="21"/>
        <v>11.627906976744185</v>
      </c>
      <c r="BL177" s="598">
        <f t="shared" si="22"/>
        <v>14.950166112956811</v>
      </c>
      <c r="BM177" s="598">
        <f t="shared" si="23"/>
        <v>200.99667774086379</v>
      </c>
      <c r="BN177" s="598">
        <f t="shared" si="24"/>
        <v>132.89036544850498</v>
      </c>
      <c r="BO177" s="598">
        <f t="shared" si="25"/>
        <v>23.255813953488371</v>
      </c>
      <c r="BP177" s="598">
        <f t="shared" si="26"/>
        <v>1355.4817275747507</v>
      </c>
      <c r="BQ177" s="598">
        <f t="shared" si="27"/>
        <v>1870.4318936877075</v>
      </c>
      <c r="BR177" s="598">
        <f t="shared" si="28"/>
        <v>262.45847176079735</v>
      </c>
      <c r="BS177" s="598">
        <f t="shared" si="29"/>
        <v>252.49169435215947</v>
      </c>
    </row>
    <row r="178" spans="1:71" ht="29" hidden="1" x14ac:dyDescent="0.35">
      <c r="A178" s="580">
        <v>925</v>
      </c>
      <c r="B178" s="580" t="s">
        <v>489</v>
      </c>
      <c r="C178" s="593" t="s">
        <v>732</v>
      </c>
      <c r="D178" s="593" t="s">
        <v>733</v>
      </c>
      <c r="E178" s="580">
        <v>863</v>
      </c>
      <c r="F178" s="580">
        <v>44.61</v>
      </c>
      <c r="G178" s="580" t="s">
        <v>644</v>
      </c>
      <c r="H178" s="580">
        <v>11.7</v>
      </c>
      <c r="I178" s="580">
        <v>0.8</v>
      </c>
      <c r="J178" s="580">
        <v>6.1</v>
      </c>
      <c r="K178" s="580">
        <v>213</v>
      </c>
      <c r="L178" s="581">
        <v>5751000</v>
      </c>
      <c r="M178" s="581">
        <v>5413000</v>
      </c>
      <c r="N178" s="582">
        <f>Table35[[#This Row],[Total Income]]-Table35[[#This Row],[Total Expenditure]]</f>
        <v>338000</v>
      </c>
      <c r="O178" s="581">
        <v>1270000</v>
      </c>
      <c r="Z178" s="581">
        <v>3926000</v>
      </c>
      <c r="AA178" s="595">
        <f>M178-Z178-Table35[[#This Row],[Maintenance &amp; Improvement]]-Table35[[#This Row],[Cleaning &amp; Caretaking]]-Table35[[#This Row],[Catering Supply]]</f>
        <v>1198000</v>
      </c>
      <c r="AB178" s="581">
        <v>127000</v>
      </c>
      <c r="AC178" s="594">
        <v>127000</v>
      </c>
      <c r="AD178" s="594">
        <v>0</v>
      </c>
      <c r="AE178" s="594">
        <v>219000</v>
      </c>
      <c r="AF178" s="594">
        <v>0</v>
      </c>
      <c r="AG178" s="581">
        <v>346000</v>
      </c>
      <c r="AH178" s="581">
        <v>252000</v>
      </c>
      <c r="AI178" s="596">
        <v>90000</v>
      </c>
      <c r="AJ178" s="594">
        <v>162000</v>
      </c>
      <c r="AK178" s="594">
        <v>16000</v>
      </c>
      <c r="AL178" s="594">
        <v>26000</v>
      </c>
      <c r="AM178" s="594">
        <v>149000</v>
      </c>
      <c r="AN178" s="594">
        <v>27000</v>
      </c>
      <c r="AO178" s="594">
        <v>27000</v>
      </c>
      <c r="AP178" s="581">
        <v>497000</v>
      </c>
      <c r="AQ178" s="594">
        <v>444000</v>
      </c>
      <c r="AR178" s="594">
        <v>17000</v>
      </c>
      <c r="AS178" s="594">
        <v>143000</v>
      </c>
      <c r="AT178" s="594">
        <v>0</v>
      </c>
      <c r="AU178" s="581">
        <v>644000</v>
      </c>
      <c r="AV178" s="594">
        <v>444000</v>
      </c>
      <c r="AW178" s="594">
        <v>17000</v>
      </c>
      <c r="AX178" s="594">
        <v>143000</v>
      </c>
      <c r="AY178" s="581">
        <v>604000</v>
      </c>
      <c r="AZ178" s="594">
        <v>0</v>
      </c>
      <c r="BA178" s="594">
        <v>40000</v>
      </c>
      <c r="BB178" s="581">
        <v>40000</v>
      </c>
      <c r="BC178" s="597">
        <f>Table35[[#This Row],[Total Expenditure]]/Table35[[#This Row],[Number of pupils (FTE)]]</f>
        <v>6272.305909617613</v>
      </c>
      <c r="BD178" s="598">
        <f>Table35[[#This Row],[Total Staff Costs]]/Table35[[#This Row],[Number of pupils (FTE)]]</f>
        <v>4549.246813441483</v>
      </c>
      <c r="BE178" s="598">
        <f>Table35[[#This Row],[Teaching staff]]/Table35[[#This Row],[Number of teachers in academy (FTE)]]</f>
        <v>0</v>
      </c>
      <c r="BF178" s="599">
        <f>Table35[[#This Row],[Number of pupils (FTE)]]/Table35[[#This Row],[Number of teachers in academy (FTE)]]</f>
        <v>19.345438242546514</v>
      </c>
      <c r="BG178" s="600">
        <f t="shared" si="20"/>
        <v>1388.1807647740441</v>
      </c>
      <c r="BH178" s="598">
        <f>Table35[[#This Row],[Premises Costs]]/Table35[[#This Row],[Number of pupils (FTE)]]</f>
        <v>400.92699884125147</v>
      </c>
      <c r="BI178" s="598">
        <f>Table35[[#This Row],[Maintenance &amp; Improvement Costs]]/Table35[[#This Row],[Number of pupils (FTE)]]</f>
        <v>147.16106604866744</v>
      </c>
      <c r="BJ178" s="598" t="e">
        <f>#REF!/E178</f>
        <v>#REF!</v>
      </c>
      <c r="BK178" s="598">
        <f t="shared" si="21"/>
        <v>18.539976825028969</v>
      </c>
      <c r="BL178" s="598">
        <f t="shared" si="22"/>
        <v>30.127462340672075</v>
      </c>
      <c r="BM178" s="598">
        <f t="shared" si="23"/>
        <v>172.65353418308226</v>
      </c>
      <c r="BN178" s="598">
        <f t="shared" si="24"/>
        <v>514.48435689455391</v>
      </c>
      <c r="BO178" s="598">
        <f t="shared" si="25"/>
        <v>19.698725376593281</v>
      </c>
      <c r="BP178" s="598">
        <f t="shared" si="26"/>
        <v>0</v>
      </c>
      <c r="BQ178" s="598">
        <f t="shared" si="27"/>
        <v>746.23406720741605</v>
      </c>
      <c r="BR178" s="598">
        <f t="shared" si="28"/>
        <v>699.88412514484355</v>
      </c>
      <c r="BS178" s="598">
        <f t="shared" si="29"/>
        <v>46.349942062572424</v>
      </c>
    </row>
    <row r="179" spans="1:71" ht="29" hidden="1" x14ac:dyDescent="0.35">
      <c r="A179" s="580">
        <v>925</v>
      </c>
      <c r="B179" s="580" t="s">
        <v>489</v>
      </c>
      <c r="C179" s="593" t="s">
        <v>734</v>
      </c>
      <c r="D179" s="593" t="s">
        <v>513</v>
      </c>
      <c r="E179" s="580">
        <v>1096</v>
      </c>
      <c r="F179" s="580">
        <v>71.3</v>
      </c>
      <c r="G179" s="580" t="s">
        <v>735</v>
      </c>
      <c r="H179" s="580">
        <v>49.1</v>
      </c>
      <c r="I179" s="580">
        <v>4.5999999999999996</v>
      </c>
      <c r="J179" s="580">
        <v>30.6</v>
      </c>
      <c r="K179" s="580">
        <v>56</v>
      </c>
      <c r="L179" s="581">
        <v>8710000</v>
      </c>
      <c r="M179" s="581">
        <v>8457000</v>
      </c>
      <c r="N179" s="582">
        <f>Table35[[#This Row],[Total Income]]-Table35[[#This Row],[Total Expenditure]]</f>
        <v>253000</v>
      </c>
      <c r="O179" s="581">
        <v>1582000</v>
      </c>
      <c r="Z179" s="581">
        <v>6740000</v>
      </c>
      <c r="AA179" s="595">
        <f>M179-Z179-Table35[[#This Row],[Maintenance &amp; Improvement]]-Table35[[#This Row],[Cleaning &amp; Caretaking]]-Table35[[#This Row],[Catering Supply]]</f>
        <v>1086000</v>
      </c>
      <c r="AB179" s="581">
        <v>174000</v>
      </c>
      <c r="AC179" s="594">
        <v>174000</v>
      </c>
      <c r="AD179" s="594">
        <v>153000</v>
      </c>
      <c r="AE179" s="594">
        <v>121000</v>
      </c>
      <c r="AF179" s="594">
        <v>0</v>
      </c>
      <c r="AG179" s="581">
        <v>448000</v>
      </c>
      <c r="AH179" s="581">
        <v>448000</v>
      </c>
      <c r="AI179" s="596">
        <v>144000</v>
      </c>
      <c r="AJ179" s="594">
        <v>304000</v>
      </c>
      <c r="AK179" s="594">
        <v>16000</v>
      </c>
      <c r="AL179" s="594">
        <v>58000</v>
      </c>
      <c r="AM179" s="594">
        <v>126000</v>
      </c>
      <c r="AN179" s="594">
        <v>24000</v>
      </c>
      <c r="AO179" s="594">
        <v>157000</v>
      </c>
      <c r="AP179" s="581">
        <v>829000</v>
      </c>
      <c r="AQ179" s="594">
        <v>118000</v>
      </c>
      <c r="AR179" s="594">
        <v>15000</v>
      </c>
      <c r="AS179" s="594">
        <v>75000</v>
      </c>
      <c r="AT179" s="594">
        <v>158000</v>
      </c>
      <c r="AU179" s="581">
        <v>440000</v>
      </c>
      <c r="AV179" s="594">
        <v>118000</v>
      </c>
      <c r="AW179" s="594">
        <v>15000</v>
      </c>
      <c r="AX179" s="594">
        <v>75000</v>
      </c>
      <c r="AY179" s="581">
        <v>208000</v>
      </c>
      <c r="AZ179" s="594">
        <v>65000</v>
      </c>
      <c r="BA179" s="594">
        <v>9000</v>
      </c>
      <c r="BB179" s="581">
        <v>74000</v>
      </c>
      <c r="BC179" s="597">
        <f>Table35[[#This Row],[Total Expenditure]]/Table35[[#This Row],[Number of pupils (FTE)]]</f>
        <v>7716.2408759124091</v>
      </c>
      <c r="BD179" s="598">
        <f>Table35[[#This Row],[Total Staff Costs]]/Table35[[#This Row],[Number of pupils (FTE)]]</f>
        <v>6149.63503649635</v>
      </c>
      <c r="BE179" s="598">
        <f>Table35[[#This Row],[Teaching staff]]/Table35[[#This Row],[Number of teachers in academy (FTE)]]</f>
        <v>0</v>
      </c>
      <c r="BF179" s="599">
        <f>Table35[[#This Row],[Number of pupils (FTE)]]/Table35[[#This Row],[Number of teachers in academy (FTE)]]</f>
        <v>15.371669004207574</v>
      </c>
      <c r="BG179" s="600">
        <f t="shared" si="20"/>
        <v>990.87591240875918</v>
      </c>
      <c r="BH179" s="598">
        <f>Table35[[#This Row],[Premises Costs]]/Table35[[#This Row],[Number of pupils (FTE)]]</f>
        <v>408.75912408759126</v>
      </c>
      <c r="BI179" s="598">
        <f>Table35[[#This Row],[Maintenance &amp; Improvement Costs]]/Table35[[#This Row],[Number of pupils (FTE)]]</f>
        <v>158.75912408759123</v>
      </c>
      <c r="BJ179" s="598" t="e">
        <f>#REF!/E179</f>
        <v>#REF!</v>
      </c>
      <c r="BK179" s="598">
        <f t="shared" si="21"/>
        <v>14.598540145985401</v>
      </c>
      <c r="BL179" s="598">
        <f t="shared" si="22"/>
        <v>52.919708029197082</v>
      </c>
      <c r="BM179" s="598">
        <f t="shared" si="23"/>
        <v>114.96350364963503</v>
      </c>
      <c r="BN179" s="598">
        <f t="shared" si="24"/>
        <v>107.66423357664233</v>
      </c>
      <c r="BO179" s="598">
        <f t="shared" si="25"/>
        <v>13.686131386861314</v>
      </c>
      <c r="BP179" s="598">
        <f t="shared" si="26"/>
        <v>144.16058394160584</v>
      </c>
      <c r="BQ179" s="598">
        <f t="shared" si="27"/>
        <v>401.45985401459853</v>
      </c>
      <c r="BR179" s="598">
        <f t="shared" si="28"/>
        <v>189.78102189781021</v>
      </c>
      <c r="BS179" s="598">
        <f t="shared" si="29"/>
        <v>67.518248175182478</v>
      </c>
    </row>
    <row r="180" spans="1:71" ht="29" hidden="1" x14ac:dyDescent="0.35">
      <c r="A180" s="580">
        <v>925</v>
      </c>
      <c r="B180" s="580" t="s">
        <v>489</v>
      </c>
      <c r="C180" s="593" t="s">
        <v>736</v>
      </c>
      <c r="D180" s="593" t="s">
        <v>513</v>
      </c>
      <c r="E180" s="580">
        <v>980</v>
      </c>
      <c r="F180" s="580">
        <v>60</v>
      </c>
      <c r="G180" s="580" t="s">
        <v>644</v>
      </c>
      <c r="H180" s="580">
        <v>30.4</v>
      </c>
      <c r="I180" s="580">
        <v>3.3</v>
      </c>
      <c r="J180" s="580">
        <v>18.600000000000001</v>
      </c>
      <c r="K180" s="580">
        <v>112</v>
      </c>
      <c r="L180" s="581">
        <v>7954000</v>
      </c>
      <c r="M180" s="581">
        <v>7421000</v>
      </c>
      <c r="N180" s="582">
        <f>Table35[[#This Row],[Total Income]]-Table35[[#This Row],[Total Expenditure]]</f>
        <v>533000</v>
      </c>
      <c r="O180" s="581">
        <v>-1042000</v>
      </c>
      <c r="Z180" s="581">
        <v>5330000</v>
      </c>
      <c r="AA180" s="595">
        <f>M180-Z180-Table35[[#This Row],[Maintenance &amp; Improvement]]-Table35[[#This Row],[Cleaning &amp; Caretaking]]-Table35[[#This Row],[Catering Supply]]</f>
        <v>1531000</v>
      </c>
      <c r="AB180" s="581">
        <v>107000</v>
      </c>
      <c r="AC180" s="594">
        <v>107000</v>
      </c>
      <c r="AD180" s="594">
        <v>214000</v>
      </c>
      <c r="AE180" s="594">
        <v>174000</v>
      </c>
      <c r="AF180" s="594">
        <v>0</v>
      </c>
      <c r="AG180" s="581">
        <v>495000</v>
      </c>
      <c r="AH180" s="581">
        <v>366000</v>
      </c>
      <c r="AI180" s="596">
        <v>127000</v>
      </c>
      <c r="AJ180" s="594">
        <v>239000</v>
      </c>
      <c r="AK180" s="594">
        <v>21000</v>
      </c>
      <c r="AL180" s="594">
        <v>49000</v>
      </c>
      <c r="AM180" s="594">
        <v>223000</v>
      </c>
      <c r="AN180" s="594">
        <v>23000</v>
      </c>
      <c r="AO180" s="594">
        <v>58000</v>
      </c>
      <c r="AP180" s="581">
        <v>740000</v>
      </c>
      <c r="AQ180" s="594">
        <v>214000</v>
      </c>
      <c r="AR180" s="594">
        <v>11000</v>
      </c>
      <c r="AS180" s="594">
        <v>127000</v>
      </c>
      <c r="AT180" s="594">
        <v>315000</v>
      </c>
      <c r="AU180" s="581">
        <v>834000</v>
      </c>
      <c r="AV180" s="594">
        <v>214000</v>
      </c>
      <c r="AW180" s="594">
        <v>11000</v>
      </c>
      <c r="AX180" s="594">
        <v>127000</v>
      </c>
      <c r="AY180" s="581">
        <v>352000</v>
      </c>
      <c r="AZ180" s="594">
        <v>160000</v>
      </c>
      <c r="BA180" s="594">
        <v>7000</v>
      </c>
      <c r="BB180" s="581">
        <v>167000</v>
      </c>
      <c r="BC180" s="597">
        <f>Table35[[#This Row],[Total Expenditure]]/Table35[[#This Row],[Number of pupils (FTE)]]</f>
        <v>7572.4489795918371</v>
      </c>
      <c r="BD180" s="598">
        <f>Table35[[#This Row],[Total Staff Costs]]/Table35[[#This Row],[Number of pupils (FTE)]]</f>
        <v>5438.7755102040819</v>
      </c>
      <c r="BE180" s="598">
        <f>Table35[[#This Row],[Teaching staff]]/Table35[[#This Row],[Number of teachers in academy (FTE)]]</f>
        <v>0</v>
      </c>
      <c r="BF180" s="599">
        <f>Table35[[#This Row],[Number of pupils (FTE)]]/Table35[[#This Row],[Number of teachers in academy (FTE)]]</f>
        <v>16.333333333333332</v>
      </c>
      <c r="BG180" s="600">
        <f t="shared" si="20"/>
        <v>1562.2448979591836</v>
      </c>
      <c r="BH180" s="598">
        <f>Table35[[#This Row],[Premises Costs]]/Table35[[#This Row],[Number of pupils (FTE)]]</f>
        <v>505.10204081632651</v>
      </c>
      <c r="BI180" s="598">
        <f>Table35[[#This Row],[Maintenance &amp; Improvement Costs]]/Table35[[#This Row],[Number of pupils (FTE)]]</f>
        <v>109.18367346938776</v>
      </c>
      <c r="BJ180" s="598" t="e">
        <f>#REF!/E180</f>
        <v>#REF!</v>
      </c>
      <c r="BK180" s="598">
        <f t="shared" si="21"/>
        <v>21.428571428571427</v>
      </c>
      <c r="BL180" s="598">
        <f t="shared" si="22"/>
        <v>50</v>
      </c>
      <c r="BM180" s="598">
        <f t="shared" si="23"/>
        <v>227.55102040816325</v>
      </c>
      <c r="BN180" s="598">
        <f t="shared" si="24"/>
        <v>218.36734693877551</v>
      </c>
      <c r="BO180" s="598">
        <f t="shared" si="25"/>
        <v>11.224489795918368</v>
      </c>
      <c r="BP180" s="598">
        <f t="shared" si="26"/>
        <v>321.42857142857144</v>
      </c>
      <c r="BQ180" s="598">
        <f t="shared" si="27"/>
        <v>851.0204081632653</v>
      </c>
      <c r="BR180" s="598">
        <f t="shared" si="28"/>
        <v>359.18367346938777</v>
      </c>
      <c r="BS180" s="598">
        <f t="shared" si="29"/>
        <v>170.40816326530611</v>
      </c>
    </row>
    <row r="181" spans="1:71" ht="29" hidden="1" x14ac:dyDescent="0.35">
      <c r="A181" s="580">
        <v>925</v>
      </c>
      <c r="B181" s="580" t="s">
        <v>489</v>
      </c>
      <c r="C181" s="593" t="s">
        <v>737</v>
      </c>
      <c r="D181" s="593" t="s">
        <v>513</v>
      </c>
      <c r="E181" s="580">
        <v>1779</v>
      </c>
      <c r="F181" s="580">
        <v>101.01</v>
      </c>
      <c r="G181" s="580" t="s">
        <v>644</v>
      </c>
      <c r="H181" s="580">
        <v>12.8</v>
      </c>
      <c r="I181" s="580">
        <v>1.4</v>
      </c>
      <c r="J181" s="580">
        <v>8</v>
      </c>
      <c r="K181" s="580">
        <v>449</v>
      </c>
      <c r="L181" s="581">
        <v>12247000</v>
      </c>
      <c r="M181" s="581">
        <v>11434000</v>
      </c>
      <c r="N181" s="582">
        <f>Table35[[#This Row],[Total Income]]-Table35[[#This Row],[Total Expenditure]]</f>
        <v>813000</v>
      </c>
      <c r="O181" s="581">
        <v>1788000</v>
      </c>
      <c r="Z181" s="581">
        <v>8402000</v>
      </c>
      <c r="AA181" s="595">
        <f>M181-Z181-Table35[[#This Row],[Maintenance &amp; Improvement]]-Table35[[#This Row],[Cleaning &amp; Caretaking]]-Table35[[#This Row],[Catering Supply]]</f>
        <v>2100000</v>
      </c>
      <c r="AB181" s="581">
        <v>287000</v>
      </c>
      <c r="AC181" s="594">
        <v>287000</v>
      </c>
      <c r="AD181" s="594">
        <v>316000</v>
      </c>
      <c r="AE181" s="594">
        <v>265000</v>
      </c>
      <c r="AF181" s="594">
        <v>0</v>
      </c>
      <c r="AG181" s="581">
        <v>868000</v>
      </c>
      <c r="AH181" s="581">
        <v>561000</v>
      </c>
      <c r="AI181" s="596">
        <v>232000</v>
      </c>
      <c r="AJ181" s="594">
        <v>329000</v>
      </c>
      <c r="AK181" s="594">
        <v>19000</v>
      </c>
      <c r="AL181" s="594">
        <v>85000</v>
      </c>
      <c r="AM181" s="594">
        <v>311000</v>
      </c>
      <c r="AN181" s="594">
        <v>41000</v>
      </c>
      <c r="AO181" s="594">
        <v>105000</v>
      </c>
      <c r="AP181" s="581">
        <v>1122000</v>
      </c>
      <c r="AQ181" s="594">
        <v>432000</v>
      </c>
      <c r="AR181" s="594">
        <v>17000</v>
      </c>
      <c r="AS181" s="594">
        <v>245000</v>
      </c>
      <c r="AT181" s="594">
        <v>247000</v>
      </c>
      <c r="AU181" s="581">
        <v>1039000</v>
      </c>
      <c r="AV181" s="594">
        <v>432000</v>
      </c>
      <c r="AW181" s="594">
        <v>17000</v>
      </c>
      <c r="AX181" s="594">
        <v>245000</v>
      </c>
      <c r="AY181" s="581">
        <v>694000</v>
      </c>
      <c r="AZ181" s="594">
        <v>63000</v>
      </c>
      <c r="BA181" s="594">
        <v>35000</v>
      </c>
      <c r="BB181" s="581">
        <v>98000</v>
      </c>
      <c r="BC181" s="597">
        <f>Table35[[#This Row],[Total Expenditure]]/Table35[[#This Row],[Number of pupils (FTE)]]</f>
        <v>6427.2062956717255</v>
      </c>
      <c r="BD181" s="598">
        <f>Table35[[#This Row],[Total Staff Costs]]/Table35[[#This Row],[Number of pupils (FTE)]]</f>
        <v>4722.878021360315</v>
      </c>
      <c r="BE181" s="598">
        <f>Table35[[#This Row],[Teaching staff]]/Table35[[#This Row],[Number of teachers in academy (FTE)]]</f>
        <v>0</v>
      </c>
      <c r="BF181" s="599">
        <f>Table35[[#This Row],[Number of pupils (FTE)]]/Table35[[#This Row],[Number of teachers in academy (FTE)]]</f>
        <v>17.612117612117611</v>
      </c>
      <c r="BG181" s="600">
        <f t="shared" si="20"/>
        <v>1180.4384485666105</v>
      </c>
      <c r="BH181" s="598">
        <f>Table35[[#This Row],[Premises Costs]]/Table35[[#This Row],[Number of pupils (FTE)]]</f>
        <v>487.91455874086563</v>
      </c>
      <c r="BI181" s="598">
        <f>Table35[[#This Row],[Maintenance &amp; Improvement Costs]]/Table35[[#This Row],[Number of pupils (FTE)]]</f>
        <v>161.32658797077011</v>
      </c>
      <c r="BJ181" s="598" t="e">
        <f>#REF!/E181</f>
        <v>#REF!</v>
      </c>
      <c r="BK181" s="598">
        <f t="shared" si="21"/>
        <v>10.680157391793141</v>
      </c>
      <c r="BL181" s="598">
        <f t="shared" si="22"/>
        <v>47.779651489600901</v>
      </c>
      <c r="BM181" s="598">
        <f t="shared" si="23"/>
        <v>174.81731309724563</v>
      </c>
      <c r="BN181" s="598">
        <f t="shared" si="24"/>
        <v>242.83305227655987</v>
      </c>
      <c r="BO181" s="598">
        <f t="shared" si="25"/>
        <v>9.5559302979201792</v>
      </c>
      <c r="BP181" s="598">
        <f t="shared" si="26"/>
        <v>138.84204609331084</v>
      </c>
      <c r="BQ181" s="598">
        <f t="shared" si="27"/>
        <v>584.03597526700389</v>
      </c>
      <c r="BR181" s="598">
        <f t="shared" si="28"/>
        <v>390.10680157391795</v>
      </c>
      <c r="BS181" s="598">
        <f t="shared" si="29"/>
        <v>55.087127599775151</v>
      </c>
    </row>
    <row r="182" spans="1:71" ht="29" hidden="1" x14ac:dyDescent="0.35">
      <c r="A182" s="580">
        <v>925</v>
      </c>
      <c r="B182" s="580" t="s">
        <v>489</v>
      </c>
      <c r="C182" s="593" t="s">
        <v>738</v>
      </c>
      <c r="D182" s="593" t="s">
        <v>739</v>
      </c>
      <c r="E182" s="580">
        <v>2356</v>
      </c>
      <c r="F182" s="580">
        <v>149.28</v>
      </c>
      <c r="G182" s="580" t="s">
        <v>644</v>
      </c>
      <c r="H182" s="580">
        <v>26.4</v>
      </c>
      <c r="I182" s="580">
        <v>4.3</v>
      </c>
      <c r="J182" s="580">
        <v>8.8000000000000007</v>
      </c>
      <c r="K182" s="580">
        <v>312</v>
      </c>
      <c r="L182" s="581">
        <v>17799000</v>
      </c>
      <c r="M182" s="581">
        <v>17700000</v>
      </c>
      <c r="N182" s="582">
        <f>Table35[[#This Row],[Total Income]]-Table35[[#This Row],[Total Expenditure]]</f>
        <v>99000</v>
      </c>
      <c r="O182" s="581">
        <v>1846000</v>
      </c>
      <c r="Z182" s="581">
        <v>13760000</v>
      </c>
      <c r="AA182" s="595">
        <f>M182-Z182-Table35[[#This Row],[Maintenance &amp; Improvement]]-Table35[[#This Row],[Cleaning &amp; Caretaking]]-Table35[[#This Row],[Catering Supply]]</f>
        <v>3413000</v>
      </c>
      <c r="AB182" s="581">
        <v>212000</v>
      </c>
      <c r="AC182" s="594">
        <v>212000</v>
      </c>
      <c r="AD182" s="594">
        <v>30000</v>
      </c>
      <c r="AE182" s="594">
        <v>495000</v>
      </c>
      <c r="AF182" s="594">
        <v>0</v>
      </c>
      <c r="AG182" s="581">
        <v>737000</v>
      </c>
      <c r="AH182" s="581">
        <v>285000</v>
      </c>
      <c r="AI182" s="596">
        <v>0</v>
      </c>
      <c r="AJ182" s="594">
        <v>285000</v>
      </c>
      <c r="AK182" s="594">
        <v>69000</v>
      </c>
      <c r="AL182" s="594">
        <v>93000</v>
      </c>
      <c r="AM182" s="594">
        <v>658000</v>
      </c>
      <c r="AN182" s="594">
        <v>78000</v>
      </c>
      <c r="AO182" s="594">
        <v>198000</v>
      </c>
      <c r="AP182" s="581">
        <v>1381000</v>
      </c>
      <c r="AQ182" s="594">
        <v>673000</v>
      </c>
      <c r="AR182" s="594">
        <v>0</v>
      </c>
      <c r="AS182" s="594">
        <v>333000</v>
      </c>
      <c r="AT182" s="594">
        <v>546000</v>
      </c>
      <c r="AU182" s="581">
        <v>1795000</v>
      </c>
      <c r="AV182" s="594">
        <v>673000</v>
      </c>
      <c r="AW182" s="594">
        <v>0</v>
      </c>
      <c r="AX182" s="594">
        <v>333000</v>
      </c>
      <c r="AY182" s="581">
        <v>1006000</v>
      </c>
      <c r="AZ182" s="594">
        <v>60000</v>
      </c>
      <c r="BA182" s="594">
        <v>183000</v>
      </c>
      <c r="BB182" s="581">
        <v>243000</v>
      </c>
      <c r="BC182" s="597">
        <f>Table35[[#This Row],[Total Expenditure]]/Table35[[#This Row],[Number of pupils (FTE)]]</f>
        <v>7512.7334465195245</v>
      </c>
      <c r="BD182" s="598">
        <f>Table35[[#This Row],[Total Staff Costs]]/Table35[[#This Row],[Number of pupils (FTE)]]</f>
        <v>5840.4074702886246</v>
      </c>
      <c r="BE182" s="598">
        <f>Table35[[#This Row],[Teaching staff]]/Table35[[#This Row],[Number of teachers in academy (FTE)]]</f>
        <v>0</v>
      </c>
      <c r="BF182" s="599">
        <f>Table35[[#This Row],[Number of pupils (FTE)]]/Table35[[#This Row],[Number of teachers in academy (FTE)]]</f>
        <v>15.782422293676312</v>
      </c>
      <c r="BG182" s="600">
        <f t="shared" si="20"/>
        <v>1448.641765704584</v>
      </c>
      <c r="BH182" s="598">
        <f>Table35[[#This Row],[Premises Costs]]/Table35[[#This Row],[Number of pupils (FTE)]]</f>
        <v>312.81833616298809</v>
      </c>
      <c r="BI182" s="598">
        <f>Table35[[#This Row],[Maintenance &amp; Improvement Costs]]/Table35[[#This Row],[Number of pupils (FTE)]]</f>
        <v>89.983022071307303</v>
      </c>
      <c r="BJ182" s="598" t="e">
        <f>#REF!/E182</f>
        <v>#REF!</v>
      </c>
      <c r="BK182" s="598">
        <f t="shared" si="21"/>
        <v>29.286926994906622</v>
      </c>
      <c r="BL182" s="598">
        <f t="shared" si="22"/>
        <v>39.473684210526315</v>
      </c>
      <c r="BM182" s="598">
        <f t="shared" si="23"/>
        <v>279.28692699490659</v>
      </c>
      <c r="BN182" s="598">
        <f t="shared" si="24"/>
        <v>285.65365025466895</v>
      </c>
      <c r="BO182" s="598">
        <f t="shared" si="25"/>
        <v>0</v>
      </c>
      <c r="BP182" s="598">
        <f t="shared" si="26"/>
        <v>231.74872665534804</v>
      </c>
      <c r="BQ182" s="598">
        <f t="shared" si="27"/>
        <v>761.88455008488961</v>
      </c>
      <c r="BR182" s="598">
        <f t="shared" si="28"/>
        <v>426.9949066213922</v>
      </c>
      <c r="BS182" s="598">
        <f t="shared" si="29"/>
        <v>103.1409168081494</v>
      </c>
    </row>
    <row r="183" spans="1:71" ht="29" hidden="1" x14ac:dyDescent="0.35">
      <c r="A183" s="580">
        <v>925</v>
      </c>
      <c r="B183" s="580" t="s">
        <v>489</v>
      </c>
      <c r="C183" s="593" t="s">
        <v>740</v>
      </c>
      <c r="D183" s="593" t="s">
        <v>513</v>
      </c>
      <c r="E183" s="580">
        <v>1406</v>
      </c>
      <c r="F183" s="580">
        <v>87.52</v>
      </c>
      <c r="G183" s="580" t="s">
        <v>644</v>
      </c>
      <c r="H183" s="580">
        <v>22.9</v>
      </c>
      <c r="I183" s="580">
        <v>4</v>
      </c>
      <c r="J183" s="580">
        <v>16.600000000000001</v>
      </c>
      <c r="K183" s="580">
        <v>221</v>
      </c>
      <c r="L183" s="581">
        <v>10899000</v>
      </c>
      <c r="M183" s="581">
        <v>10146000</v>
      </c>
      <c r="N183" s="582">
        <f>Table35[[#This Row],[Total Income]]-Table35[[#This Row],[Total Expenditure]]</f>
        <v>753000</v>
      </c>
      <c r="O183" s="581">
        <v>1582000</v>
      </c>
      <c r="Z183" s="581">
        <v>7680000</v>
      </c>
      <c r="AA183" s="595">
        <f>M183-Z183-Table35[[#This Row],[Maintenance &amp; Improvement]]-Table35[[#This Row],[Cleaning &amp; Caretaking]]-Table35[[#This Row],[Catering Supply]]</f>
        <v>1721000</v>
      </c>
      <c r="AB183" s="581">
        <v>172000</v>
      </c>
      <c r="AC183" s="594">
        <v>172000</v>
      </c>
      <c r="AD183" s="594">
        <v>238000</v>
      </c>
      <c r="AE183" s="594">
        <v>153000</v>
      </c>
      <c r="AF183" s="594">
        <v>0</v>
      </c>
      <c r="AG183" s="581">
        <v>563000</v>
      </c>
      <c r="AH183" s="581">
        <v>595000</v>
      </c>
      <c r="AI183" s="596">
        <v>260000</v>
      </c>
      <c r="AJ183" s="594">
        <v>335000</v>
      </c>
      <c r="AK183" s="594">
        <v>22000</v>
      </c>
      <c r="AL183" s="594">
        <v>68000</v>
      </c>
      <c r="AM183" s="594">
        <v>153000</v>
      </c>
      <c r="AN183" s="594">
        <v>32000</v>
      </c>
      <c r="AO183" s="594">
        <v>112000</v>
      </c>
      <c r="AP183" s="581">
        <v>982000</v>
      </c>
      <c r="AQ183" s="594">
        <v>413000</v>
      </c>
      <c r="AR183" s="594">
        <v>13000</v>
      </c>
      <c r="AS183" s="594">
        <v>181000</v>
      </c>
      <c r="AT183" s="594">
        <v>212000</v>
      </c>
      <c r="AU183" s="581">
        <v>921000</v>
      </c>
      <c r="AV183" s="594">
        <v>413000</v>
      </c>
      <c r="AW183" s="594">
        <v>13000</v>
      </c>
      <c r="AX183" s="594">
        <v>181000</v>
      </c>
      <c r="AY183" s="581">
        <v>607000</v>
      </c>
      <c r="AZ183" s="594">
        <v>79000</v>
      </c>
      <c r="BA183" s="594">
        <v>23000</v>
      </c>
      <c r="BB183" s="581">
        <v>102000</v>
      </c>
      <c r="BC183" s="597">
        <f>Table35[[#This Row],[Total Expenditure]]/Table35[[#This Row],[Number of pupils (FTE)]]</f>
        <v>7216.2162162162158</v>
      </c>
      <c r="BD183" s="598">
        <f>Table35[[#This Row],[Total Staff Costs]]/Table35[[#This Row],[Number of pupils (FTE)]]</f>
        <v>5462.3044096728308</v>
      </c>
      <c r="BE183" s="598">
        <f>Table35[[#This Row],[Teaching staff]]/Table35[[#This Row],[Number of teachers in academy (FTE)]]</f>
        <v>0</v>
      </c>
      <c r="BF183" s="599">
        <f>Table35[[#This Row],[Number of pupils (FTE)]]/Table35[[#This Row],[Number of teachers in academy (FTE)]]</f>
        <v>16.064899451553931</v>
      </c>
      <c r="BG183" s="600">
        <f t="shared" si="20"/>
        <v>1224.0398293029873</v>
      </c>
      <c r="BH183" s="598">
        <f>Table35[[#This Row],[Premises Costs]]/Table35[[#This Row],[Number of pupils (FTE)]]</f>
        <v>400.42674253200568</v>
      </c>
      <c r="BI183" s="598">
        <f>Table35[[#This Row],[Maintenance &amp; Improvement Costs]]/Table35[[#This Row],[Number of pupils (FTE)]]</f>
        <v>122.33285917496444</v>
      </c>
      <c r="BJ183" s="598" t="e">
        <f>#REF!/E183</f>
        <v>#REF!</v>
      </c>
      <c r="BK183" s="598">
        <f t="shared" si="21"/>
        <v>15.647226173541963</v>
      </c>
      <c r="BL183" s="598">
        <f t="shared" si="22"/>
        <v>48.364153627311524</v>
      </c>
      <c r="BM183" s="598">
        <f t="shared" si="23"/>
        <v>108.81934566145092</v>
      </c>
      <c r="BN183" s="598">
        <f t="shared" si="24"/>
        <v>293.74110953058323</v>
      </c>
      <c r="BO183" s="598">
        <f t="shared" si="25"/>
        <v>9.2460881934566146</v>
      </c>
      <c r="BP183" s="598">
        <f t="shared" si="26"/>
        <v>150.78236130867711</v>
      </c>
      <c r="BQ183" s="598">
        <f t="shared" si="27"/>
        <v>655.04978662873395</v>
      </c>
      <c r="BR183" s="598">
        <f t="shared" si="28"/>
        <v>431.72119487908964</v>
      </c>
      <c r="BS183" s="598">
        <f t="shared" si="29"/>
        <v>72.546230440967278</v>
      </c>
    </row>
    <row r="184" spans="1:71" ht="29" hidden="1" x14ac:dyDescent="0.35">
      <c r="A184" s="580">
        <v>925</v>
      </c>
      <c r="B184" s="580" t="s">
        <v>489</v>
      </c>
      <c r="C184" s="593" t="s">
        <v>741</v>
      </c>
      <c r="D184" s="593" t="s">
        <v>499</v>
      </c>
      <c r="E184" s="580">
        <v>1021</v>
      </c>
      <c r="F184" s="580">
        <v>61</v>
      </c>
      <c r="G184" s="580" t="s">
        <v>644</v>
      </c>
      <c r="H184" s="580">
        <v>59.8</v>
      </c>
      <c r="I184" s="580">
        <v>5.6</v>
      </c>
      <c r="J184" s="580">
        <v>26.8</v>
      </c>
      <c r="K184" s="580">
        <v>75</v>
      </c>
      <c r="L184" s="581">
        <v>9550000</v>
      </c>
      <c r="M184" s="581">
        <v>8617000</v>
      </c>
      <c r="N184" s="582">
        <f>Table35[[#This Row],[Total Income]]-Table35[[#This Row],[Total Expenditure]]</f>
        <v>933000</v>
      </c>
      <c r="O184" s="581">
        <v>369000</v>
      </c>
      <c r="Z184" s="581">
        <v>6937000</v>
      </c>
      <c r="AA184" s="595">
        <f>M184-Z184-Table35[[#This Row],[Maintenance &amp; Improvement]]-Table35[[#This Row],[Cleaning &amp; Caretaking]]-Table35[[#This Row],[Catering Supply]]</f>
        <v>1281000</v>
      </c>
      <c r="AB184" s="581">
        <v>120000</v>
      </c>
      <c r="AC184" s="594">
        <v>120000</v>
      </c>
      <c r="AD184" s="594">
        <v>90000</v>
      </c>
      <c r="AE184" s="594">
        <v>0</v>
      </c>
      <c r="AF184" s="594">
        <v>0</v>
      </c>
      <c r="AG184" s="581">
        <v>210000</v>
      </c>
      <c r="AH184" s="581">
        <v>363000</v>
      </c>
      <c r="AI184" s="596">
        <v>174000</v>
      </c>
      <c r="AJ184" s="594">
        <v>189000</v>
      </c>
      <c r="AK184" s="594">
        <v>2000</v>
      </c>
      <c r="AL184" s="594">
        <v>60000</v>
      </c>
      <c r="AM184" s="594">
        <v>315000</v>
      </c>
      <c r="AN184" s="594">
        <v>34000</v>
      </c>
      <c r="AO184" s="594">
        <v>119000</v>
      </c>
      <c r="AP184" s="581">
        <v>893000</v>
      </c>
      <c r="AQ184" s="594">
        <v>350000</v>
      </c>
      <c r="AR184" s="594">
        <v>9000</v>
      </c>
      <c r="AS184" s="594">
        <v>110000</v>
      </c>
      <c r="AT184" s="594">
        <v>0</v>
      </c>
      <c r="AU184" s="581">
        <v>577000</v>
      </c>
      <c r="AV184" s="594">
        <v>350000</v>
      </c>
      <c r="AW184" s="594">
        <v>9000</v>
      </c>
      <c r="AX184" s="594">
        <v>110000</v>
      </c>
      <c r="AY184" s="581">
        <v>469000</v>
      </c>
      <c r="AZ184" s="594">
        <v>98000</v>
      </c>
      <c r="BA184" s="594">
        <v>10000</v>
      </c>
      <c r="BB184" s="581">
        <v>108000</v>
      </c>
      <c r="BC184" s="597">
        <f>Table35[[#This Row],[Total Expenditure]]/Table35[[#This Row],[Number of pupils (FTE)]]</f>
        <v>8439.7649363369237</v>
      </c>
      <c r="BD184" s="598">
        <f>Table35[[#This Row],[Total Staff Costs]]/Table35[[#This Row],[Number of pupils (FTE)]]</f>
        <v>6794.3192948090109</v>
      </c>
      <c r="BE184" s="598">
        <f>Table35[[#This Row],[Teaching staff]]/Table35[[#This Row],[Number of teachers in academy (FTE)]]</f>
        <v>0</v>
      </c>
      <c r="BF184" s="599">
        <f>Table35[[#This Row],[Number of pupils (FTE)]]/Table35[[#This Row],[Number of teachers in academy (FTE)]]</f>
        <v>16.737704918032787</v>
      </c>
      <c r="BG184" s="600">
        <f t="shared" si="20"/>
        <v>1254.6523016650342</v>
      </c>
      <c r="BH184" s="598">
        <f>Table35[[#This Row],[Premises Costs]]/Table35[[#This Row],[Number of pupils (FTE)]]</f>
        <v>205.68070519098922</v>
      </c>
      <c r="BI184" s="598">
        <f>Table35[[#This Row],[Maintenance &amp; Improvement Costs]]/Table35[[#This Row],[Number of pupils (FTE)]]</f>
        <v>117.53183153770813</v>
      </c>
      <c r="BJ184" s="598" t="e">
        <f>#REF!/E184</f>
        <v>#REF!</v>
      </c>
      <c r="BK184" s="598">
        <f t="shared" si="21"/>
        <v>1.9588638589618022</v>
      </c>
      <c r="BL184" s="598">
        <f t="shared" si="22"/>
        <v>58.765915768854065</v>
      </c>
      <c r="BM184" s="598">
        <f t="shared" si="23"/>
        <v>308.52105778648382</v>
      </c>
      <c r="BN184" s="598">
        <f t="shared" si="24"/>
        <v>342.80117531831536</v>
      </c>
      <c r="BO184" s="598">
        <f t="shared" si="25"/>
        <v>8.8148873653281097</v>
      </c>
      <c r="BP184" s="598">
        <f t="shared" si="26"/>
        <v>0</v>
      </c>
      <c r="BQ184" s="598">
        <f t="shared" si="27"/>
        <v>565.13222331047996</v>
      </c>
      <c r="BR184" s="598">
        <f t="shared" si="28"/>
        <v>459.35357492654259</v>
      </c>
      <c r="BS184" s="598">
        <f t="shared" si="29"/>
        <v>105.77864838393732</v>
      </c>
    </row>
    <row r="185" spans="1:71" ht="30.5" x14ac:dyDescent="0.5">
      <c r="A185" s="580">
        <v>925</v>
      </c>
      <c r="B185" s="580" t="s">
        <v>489</v>
      </c>
      <c r="C185" s="593" t="s">
        <v>742</v>
      </c>
      <c r="D185" s="593" t="s">
        <v>516</v>
      </c>
      <c r="E185" s="580">
        <v>251</v>
      </c>
      <c r="F185" s="580">
        <v>11.3</v>
      </c>
      <c r="G185" s="580" t="s">
        <v>743</v>
      </c>
      <c r="H185" s="580">
        <v>42.2</v>
      </c>
      <c r="I185" s="580">
        <v>100</v>
      </c>
      <c r="J185" s="580">
        <v>0</v>
      </c>
      <c r="K185" s="580">
        <v>18</v>
      </c>
      <c r="L185" s="581">
        <v>5344000</v>
      </c>
      <c r="M185" s="581">
        <v>4573000</v>
      </c>
      <c r="N185" s="582">
        <f>Table35[[#This Row],[Total Income]]-Table35[[#This Row],[Total Expenditure]]</f>
        <v>771000</v>
      </c>
      <c r="O185" s="581">
        <v>0</v>
      </c>
      <c r="P185" s="594">
        <v>1826000</v>
      </c>
      <c r="Q185" s="594">
        <v>0</v>
      </c>
      <c r="R185" s="594">
        <v>1742000</v>
      </c>
      <c r="S185" s="594">
        <v>210000</v>
      </c>
      <c r="T185" s="594">
        <v>88000</v>
      </c>
      <c r="U185" s="601">
        <v>8000</v>
      </c>
      <c r="V185" s="601">
        <v>10000</v>
      </c>
      <c r="W185" s="601">
        <v>0</v>
      </c>
      <c r="X185" s="601">
        <v>0</v>
      </c>
      <c r="Y185" s="594">
        <v>30000</v>
      </c>
      <c r="Z185"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4167000</v>
      </c>
      <c r="AA185" s="595">
        <f>M185-Z185-Table35[[#This Row],[Maintenance &amp; Improvement]]-Table35[[#This Row],[Cleaning &amp; Caretaking]]-Table35[[#This Row],[Catering Supply]]</f>
        <v>251000</v>
      </c>
      <c r="AB185" s="581">
        <v>40000</v>
      </c>
      <c r="AC185" s="602">
        <v>40000</v>
      </c>
      <c r="AD185" s="603">
        <v>11000</v>
      </c>
      <c r="AE185" s="604">
        <v>140000</v>
      </c>
      <c r="AF185" s="604">
        <v>0</v>
      </c>
      <c r="AG185" s="605">
        <v>191000</v>
      </c>
      <c r="AH185" s="606">
        <v>179000</v>
      </c>
      <c r="AI185" s="607">
        <v>75000</v>
      </c>
      <c r="AJ185" s="602">
        <v>104000</v>
      </c>
      <c r="AK185" s="602">
        <v>12000</v>
      </c>
      <c r="AL185" s="602">
        <v>5000</v>
      </c>
      <c r="AM185" s="602">
        <v>41000</v>
      </c>
      <c r="AN185" s="602">
        <v>11000</v>
      </c>
      <c r="AO185" s="602">
        <v>17000</v>
      </c>
      <c r="AP185" s="608">
        <v>265000</v>
      </c>
      <c r="AQ185" s="601">
        <v>49000</v>
      </c>
      <c r="AR185" s="601">
        <v>17000</v>
      </c>
      <c r="AS185" s="601">
        <v>5000</v>
      </c>
      <c r="AT185" s="601">
        <v>74000</v>
      </c>
      <c r="AU185" s="609">
        <v>203000</v>
      </c>
      <c r="AV185" s="610">
        <v>49000</v>
      </c>
      <c r="AW185" s="610">
        <v>17000</v>
      </c>
      <c r="AX185" s="610">
        <v>5000</v>
      </c>
      <c r="AY185" s="611">
        <v>71000</v>
      </c>
      <c r="AZ185" s="612">
        <v>56000</v>
      </c>
      <c r="BA185" s="601">
        <v>2000</v>
      </c>
      <c r="BB185" s="613">
        <v>58000</v>
      </c>
      <c r="BC185" s="597">
        <f>Table35[[#This Row],[Total Expenditure]]/Table35[[#This Row],[Number of pupils (FTE)]]</f>
        <v>18219.123505976095</v>
      </c>
      <c r="BD185" s="598">
        <f>Table35[[#This Row],[Total Staff Costs]]/Table35[[#This Row],[Number of pupils (FTE)]]</f>
        <v>16601.593625498008</v>
      </c>
      <c r="BE185" s="598">
        <f>Table35[[#This Row],[Teaching staff]]/Table35[[#This Row],[Number of teachers in academy (FTE)]]</f>
        <v>161592.92035398228</v>
      </c>
      <c r="BF185" s="614">
        <f>Table35[[#This Row],[Number of pupils (FTE)]]/Table35[[#This Row],[Number of teachers in academy (FTE)]]</f>
        <v>22.212389380530972</v>
      </c>
      <c r="BG185" s="600">
        <f>AA185/E185</f>
        <v>1000</v>
      </c>
      <c r="BH185" s="598">
        <f>Table35[[#This Row],[Premises Costs]]/Table35[[#This Row],[Number of pupils (FTE)]]</f>
        <v>760.95617529880474</v>
      </c>
      <c r="BI185" s="598">
        <f>Table35[[#This Row],[Maintenance &amp; Improvement Costs]]/Table35[[#This Row],[Number of pupils (FTE)]]</f>
        <v>159.36254980079681</v>
      </c>
      <c r="BJ185" s="598" t="e">
        <f>#REF!/E185</f>
        <v>#REF!</v>
      </c>
      <c r="BK185" s="598">
        <f t="shared" si="21"/>
        <v>47.808764940239044</v>
      </c>
      <c r="BL185" s="598">
        <f t="shared" si="22"/>
        <v>19.920318725099602</v>
      </c>
      <c r="BM185" s="598">
        <f t="shared" si="23"/>
        <v>163.34661354581672</v>
      </c>
      <c r="BN185" s="598">
        <f t="shared" si="24"/>
        <v>195.21912350597609</v>
      </c>
      <c r="BO185" s="598">
        <f t="shared" si="25"/>
        <v>67.729083665338649</v>
      </c>
      <c r="BP185" s="615">
        <f t="shared" si="26"/>
        <v>294.82071713147411</v>
      </c>
      <c r="BQ185" s="598">
        <f t="shared" si="27"/>
        <v>808.76494023904388</v>
      </c>
      <c r="BR185" s="598">
        <f t="shared" si="28"/>
        <v>282.86852589641433</v>
      </c>
      <c r="BS185" s="615">
        <f t="shared" si="29"/>
        <v>231.07569721115539</v>
      </c>
    </row>
    <row r="186" spans="1:71" ht="29" x14ac:dyDescent="0.35">
      <c r="A186" s="580">
        <v>925</v>
      </c>
      <c r="B186" s="580" t="s">
        <v>489</v>
      </c>
      <c r="C186" s="593" t="s">
        <v>744</v>
      </c>
      <c r="D186" s="593" t="s">
        <v>538</v>
      </c>
      <c r="E186" s="580">
        <v>101</v>
      </c>
      <c r="F186" s="580">
        <v>14.18</v>
      </c>
      <c r="G186" s="580" t="s">
        <v>743</v>
      </c>
      <c r="H186" s="580">
        <v>44.6</v>
      </c>
      <c r="I186" s="580">
        <v>100</v>
      </c>
      <c r="J186" s="580">
        <v>0</v>
      </c>
      <c r="K186" s="580">
        <v>0</v>
      </c>
      <c r="L186" s="581">
        <v>2506000</v>
      </c>
      <c r="M186" s="581">
        <v>2507000</v>
      </c>
      <c r="N186" s="582">
        <f>Table35[[#This Row],[Total Income]]-Table35[[#This Row],[Total Expenditure]]</f>
        <v>-1000</v>
      </c>
      <c r="O186" s="581">
        <v>234000</v>
      </c>
      <c r="P186" s="594">
        <v>1108000</v>
      </c>
      <c r="Q186" s="594">
        <v>0</v>
      </c>
      <c r="R186" s="594">
        <v>552000</v>
      </c>
      <c r="S186" s="594">
        <v>145000</v>
      </c>
      <c r="T186" s="594">
        <v>14000</v>
      </c>
      <c r="U186" s="594">
        <v>3000</v>
      </c>
      <c r="V186" s="594">
        <v>10000</v>
      </c>
      <c r="W186" s="594">
        <v>0</v>
      </c>
      <c r="X186" s="594">
        <v>7000</v>
      </c>
      <c r="Y186" s="594">
        <v>0</v>
      </c>
      <c r="Z186"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1943000</v>
      </c>
      <c r="AA186" s="595">
        <f>M186-Z186-Table35[[#This Row],[Maintenance &amp; Improvement]]-Table35[[#This Row],[Cleaning &amp; Caretaking]]-Table35[[#This Row],[Catering Supply]]</f>
        <v>510000</v>
      </c>
      <c r="AB186" s="581">
        <v>27000</v>
      </c>
      <c r="AC186" s="594">
        <v>27000</v>
      </c>
      <c r="AD186" s="594">
        <v>6000</v>
      </c>
      <c r="AE186" s="594">
        <v>69000</v>
      </c>
      <c r="AF186" s="594">
        <v>0</v>
      </c>
      <c r="AG186" s="581">
        <v>102000</v>
      </c>
      <c r="AH186" s="581">
        <v>64000</v>
      </c>
      <c r="AI186" s="596">
        <v>43000</v>
      </c>
      <c r="AJ186" s="594">
        <v>21000</v>
      </c>
      <c r="AK186" s="594">
        <v>4000</v>
      </c>
      <c r="AL186" s="594">
        <v>30000</v>
      </c>
      <c r="AM186" s="594">
        <v>30000</v>
      </c>
      <c r="AN186" s="594">
        <v>2000</v>
      </c>
      <c r="AO186" s="594">
        <v>10000</v>
      </c>
      <c r="AP186" s="581">
        <v>140000</v>
      </c>
      <c r="AQ186" s="594">
        <v>340000</v>
      </c>
      <c r="AR186" s="594">
        <v>18000</v>
      </c>
      <c r="AS186" s="594">
        <v>0</v>
      </c>
      <c r="AT186" s="594">
        <v>41000</v>
      </c>
      <c r="AU186" s="581">
        <v>426000</v>
      </c>
      <c r="AV186" s="594">
        <v>340000</v>
      </c>
      <c r="AW186" s="594">
        <v>18000</v>
      </c>
      <c r="AX186" s="594">
        <v>0</v>
      </c>
      <c r="AY186" s="581">
        <v>358000</v>
      </c>
      <c r="AZ186" s="594">
        <v>12000</v>
      </c>
      <c r="BA186" s="594">
        <v>15000</v>
      </c>
      <c r="BB186" s="581">
        <v>27000</v>
      </c>
      <c r="BC186" s="597">
        <f>Table35[[#This Row],[Total Expenditure]]/Table35[[#This Row],[Number of pupils (FTE)]]</f>
        <v>24821.782178217822</v>
      </c>
      <c r="BD186" s="598">
        <f>Table35[[#This Row],[Total Staff Costs]]/Table35[[#This Row],[Number of pupils (FTE)]]</f>
        <v>19237.623762376239</v>
      </c>
      <c r="BE186" s="598">
        <f>Table35[[#This Row],[Teaching staff]]/Table35[[#This Row],[Number of teachers in academy (FTE)]]</f>
        <v>78138.22284908322</v>
      </c>
      <c r="BF186" s="614">
        <f>Table35[[#This Row],[Number of pupils (FTE)]]/Table35[[#This Row],[Number of teachers in academy (FTE)]]</f>
        <v>7.1227080394922426</v>
      </c>
      <c r="BG186" s="600">
        <f t="shared" si="20"/>
        <v>5049.5049504950493</v>
      </c>
      <c r="BH186" s="598">
        <f>Table35[[#This Row],[Premises Costs]]/Table35[[#This Row],[Number of pupils (FTE)]]</f>
        <v>1009.9009900990098</v>
      </c>
      <c r="BI186" s="598">
        <f>Table35[[#This Row],[Maintenance &amp; Improvement Costs]]/Table35[[#This Row],[Number of pupils (FTE)]]</f>
        <v>267.32673267326732</v>
      </c>
      <c r="BJ186" s="598" t="e">
        <f>#REF!/E186</f>
        <v>#REF!</v>
      </c>
      <c r="BK186" s="598">
        <f t="shared" si="21"/>
        <v>39.603960396039604</v>
      </c>
      <c r="BL186" s="598">
        <f t="shared" si="22"/>
        <v>297.02970297029702</v>
      </c>
      <c r="BM186" s="598">
        <f t="shared" si="23"/>
        <v>297.02970297029702</v>
      </c>
      <c r="BN186" s="598">
        <f t="shared" si="24"/>
        <v>3366.3366336633662</v>
      </c>
      <c r="BO186" s="598">
        <f t="shared" si="25"/>
        <v>178.21782178217822</v>
      </c>
      <c r="BP186" s="598">
        <f t="shared" si="26"/>
        <v>405.94059405940595</v>
      </c>
      <c r="BQ186" s="598">
        <f t="shared" si="27"/>
        <v>4217.8217821782182</v>
      </c>
      <c r="BR186" s="598">
        <f t="shared" si="28"/>
        <v>3544.5544554455446</v>
      </c>
      <c r="BS186" s="598">
        <f t="shared" si="29"/>
        <v>267.32673267326732</v>
      </c>
    </row>
    <row r="187" spans="1:71" ht="29" x14ac:dyDescent="0.35">
      <c r="A187" s="580">
        <v>925</v>
      </c>
      <c r="B187" s="580" t="s">
        <v>489</v>
      </c>
      <c r="C187" s="593" t="s">
        <v>745</v>
      </c>
      <c r="D187" s="593" t="s">
        <v>516</v>
      </c>
      <c r="E187" s="580">
        <v>214</v>
      </c>
      <c r="F187" s="580">
        <v>25.42</v>
      </c>
      <c r="G187" s="580" t="s">
        <v>743</v>
      </c>
      <c r="H187" s="580">
        <v>53.7</v>
      </c>
      <c r="I187" s="580">
        <v>99.1</v>
      </c>
      <c r="J187" s="580">
        <v>0.9</v>
      </c>
      <c r="K187" s="580">
        <v>19</v>
      </c>
      <c r="L187" s="581">
        <v>4465000</v>
      </c>
      <c r="M187" s="581">
        <v>3848000</v>
      </c>
      <c r="N187" s="582">
        <f>Table35[[#This Row],[Total Income]]-Table35[[#This Row],[Total Expenditure]]</f>
        <v>617000</v>
      </c>
      <c r="O187" s="581">
        <v>0</v>
      </c>
      <c r="P187" s="594">
        <v>1451000</v>
      </c>
      <c r="Q187" s="594">
        <v>0</v>
      </c>
      <c r="R187" s="594">
        <v>1601000</v>
      </c>
      <c r="S187" s="594">
        <v>121000</v>
      </c>
      <c r="T187" s="594">
        <v>50000</v>
      </c>
      <c r="U187" s="594">
        <v>6000</v>
      </c>
      <c r="V187" s="594">
        <v>7000</v>
      </c>
      <c r="W187" s="594">
        <v>0</v>
      </c>
      <c r="X187" s="594">
        <v>0</v>
      </c>
      <c r="Y187" s="594">
        <v>20000</v>
      </c>
      <c r="Z187"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3453000</v>
      </c>
      <c r="AA187" s="595">
        <f>M187-Z187-Table35[[#This Row],[Maintenance &amp; Improvement]]-Table35[[#This Row],[Cleaning &amp; Caretaking]]-Table35[[#This Row],[Catering Supply]]</f>
        <v>273000</v>
      </c>
      <c r="AB187" s="581">
        <v>20000</v>
      </c>
      <c r="AC187" s="594">
        <v>20000</v>
      </c>
      <c r="AD187" s="594">
        <v>15000</v>
      </c>
      <c r="AE187" s="594">
        <v>149000</v>
      </c>
      <c r="AF187" s="594">
        <v>0</v>
      </c>
      <c r="AG187" s="581">
        <v>184000</v>
      </c>
      <c r="AH187" s="581">
        <v>129000</v>
      </c>
      <c r="AI187" s="596">
        <v>42000</v>
      </c>
      <c r="AJ187" s="594">
        <v>87000</v>
      </c>
      <c r="AK187" s="594">
        <v>5000</v>
      </c>
      <c r="AL187" s="594">
        <v>0</v>
      </c>
      <c r="AM187" s="594">
        <v>86000</v>
      </c>
      <c r="AN187" s="594">
        <v>8000</v>
      </c>
      <c r="AO187" s="594">
        <v>14000</v>
      </c>
      <c r="AP187" s="581">
        <v>242000</v>
      </c>
      <c r="AQ187" s="594">
        <v>79000</v>
      </c>
      <c r="AR187" s="594">
        <v>5000</v>
      </c>
      <c r="AS187" s="594">
        <v>5000</v>
      </c>
      <c r="AT187" s="594">
        <v>58000</v>
      </c>
      <c r="AU187" s="581">
        <v>166000</v>
      </c>
      <c r="AV187" s="594">
        <v>79000</v>
      </c>
      <c r="AW187" s="594">
        <v>5000</v>
      </c>
      <c r="AX187" s="594">
        <v>5000</v>
      </c>
      <c r="AY187" s="581">
        <v>89000</v>
      </c>
      <c r="AZ187" s="594">
        <v>19000</v>
      </c>
      <c r="BA187" s="594">
        <v>0</v>
      </c>
      <c r="BB187" s="581">
        <v>19000</v>
      </c>
      <c r="BC187" s="597">
        <f>Table35[[#This Row],[Total Expenditure]]/Table35[[#This Row],[Number of pupils (FTE)]]</f>
        <v>17981.308411214952</v>
      </c>
      <c r="BD187" s="598">
        <f>Table35[[#This Row],[Total Staff Costs]]/Table35[[#This Row],[Number of pupils (FTE)]]</f>
        <v>16135.514018691589</v>
      </c>
      <c r="BE187" s="598">
        <f>Table35[[#This Row],[Teaching staff]]/Table35[[#This Row],[Number of teachers in academy (FTE)]]</f>
        <v>57081.038552321006</v>
      </c>
      <c r="BF187" s="614">
        <f>Table35[[#This Row],[Number of pupils (FTE)]]/Table35[[#This Row],[Number of teachers in academy (FTE)]]</f>
        <v>8.4185680566483079</v>
      </c>
      <c r="BG187" s="600">
        <f>AA187/E187</f>
        <v>1275.7009345794393</v>
      </c>
      <c r="BH187" s="598">
        <f>Table35[[#This Row],[Premises Costs]]/Table35[[#This Row],[Number of pupils (FTE)]]</f>
        <v>859.81308411214957</v>
      </c>
      <c r="BI187" s="598">
        <f>Table35[[#This Row],[Maintenance &amp; Improvement Costs]]/Table35[[#This Row],[Number of pupils (FTE)]]</f>
        <v>93.45794392523365</v>
      </c>
      <c r="BJ187" s="598" t="e">
        <f>#REF!/E187</f>
        <v>#REF!</v>
      </c>
      <c r="BK187" s="598">
        <f t="shared" si="21"/>
        <v>23.364485981308412</v>
      </c>
      <c r="BL187" s="598">
        <f t="shared" si="22"/>
        <v>0</v>
      </c>
      <c r="BM187" s="598">
        <f t="shared" si="23"/>
        <v>401.86915887850466</v>
      </c>
      <c r="BN187" s="598">
        <f t="shared" si="24"/>
        <v>369.15887850467288</v>
      </c>
      <c r="BO187" s="598">
        <f t="shared" si="25"/>
        <v>23.364485981308412</v>
      </c>
      <c r="BP187" s="598">
        <f t="shared" si="26"/>
        <v>271.02803738317755</v>
      </c>
      <c r="BQ187" s="598">
        <f t="shared" si="27"/>
        <v>775.70093457943926</v>
      </c>
      <c r="BR187" s="598">
        <f t="shared" si="28"/>
        <v>415.8878504672897</v>
      </c>
      <c r="BS187" s="598">
        <f t="shared" si="29"/>
        <v>88.785046728971963</v>
      </c>
    </row>
    <row r="188" spans="1:71" s="616" customFormat="1" ht="29" x14ac:dyDescent="0.35">
      <c r="A188" s="616">
        <v>925</v>
      </c>
      <c r="B188" s="616" t="s">
        <v>489</v>
      </c>
      <c r="C188" s="617" t="s">
        <v>746</v>
      </c>
      <c r="D188" s="617" t="s">
        <v>516</v>
      </c>
      <c r="E188" s="616">
        <v>151</v>
      </c>
      <c r="F188" s="616">
        <v>19.600000000000001</v>
      </c>
      <c r="G188" s="616" t="s">
        <v>743</v>
      </c>
      <c r="H188" s="616">
        <v>44.4</v>
      </c>
      <c r="I188" s="616">
        <v>100</v>
      </c>
      <c r="J188" s="616">
        <v>0</v>
      </c>
      <c r="K188" s="616">
        <v>24</v>
      </c>
      <c r="L188" s="618">
        <v>3128000</v>
      </c>
      <c r="M188" s="618">
        <v>2891000</v>
      </c>
      <c r="N188" s="619">
        <f>Table35[[#This Row],[Total Income]]-Table35[[#This Row],[Total Expenditure]]</f>
        <v>237000</v>
      </c>
      <c r="O188" s="618">
        <v>0</v>
      </c>
      <c r="P188" s="620">
        <v>1025000</v>
      </c>
      <c r="Q188" s="620">
        <v>0</v>
      </c>
      <c r="R188" s="620">
        <v>1414000</v>
      </c>
      <c r="S188" s="620">
        <v>73000</v>
      </c>
      <c r="T188" s="620">
        <v>41000</v>
      </c>
      <c r="U188" s="620">
        <v>4000</v>
      </c>
      <c r="V188" s="620">
        <v>5000</v>
      </c>
      <c r="W188" s="620">
        <v>0</v>
      </c>
      <c r="X188" s="620">
        <v>0</v>
      </c>
      <c r="Y188" s="620">
        <v>5000</v>
      </c>
      <c r="Z188"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2641000</v>
      </c>
      <c r="AA188" s="595">
        <f>M188-Z188-Table35[[#This Row],[Maintenance &amp; Improvement]]-Table35[[#This Row],[Cleaning &amp; Caretaking]]-Table35[[#This Row],[Catering Supply]]</f>
        <v>175000</v>
      </c>
      <c r="AB188" s="621">
        <v>10000</v>
      </c>
      <c r="AC188" s="622">
        <v>10000</v>
      </c>
      <c r="AD188" s="622">
        <v>9000</v>
      </c>
      <c r="AE188" s="622">
        <v>52000</v>
      </c>
      <c r="AF188" s="622">
        <v>0</v>
      </c>
      <c r="AG188" s="621">
        <v>71000</v>
      </c>
      <c r="AH188" s="621">
        <v>76000</v>
      </c>
      <c r="AI188" s="623">
        <v>20000</v>
      </c>
      <c r="AJ188" s="620">
        <v>56000</v>
      </c>
      <c r="AK188" s="620">
        <v>1000</v>
      </c>
      <c r="AL188" s="620">
        <v>0</v>
      </c>
      <c r="AM188" s="620">
        <v>45000</v>
      </c>
      <c r="AN188" s="620">
        <v>6000</v>
      </c>
      <c r="AO188" s="620">
        <v>8000</v>
      </c>
      <c r="AP188" s="618">
        <v>136000</v>
      </c>
      <c r="AQ188" s="620">
        <v>62000</v>
      </c>
      <c r="AR188" s="620">
        <v>6000</v>
      </c>
      <c r="AS188" s="620">
        <v>2000</v>
      </c>
      <c r="AT188" s="620">
        <v>36000</v>
      </c>
      <c r="AU188" s="618">
        <v>117000</v>
      </c>
      <c r="AV188" s="620">
        <v>62000</v>
      </c>
      <c r="AW188" s="620">
        <v>6000</v>
      </c>
      <c r="AX188" s="620">
        <v>2000</v>
      </c>
      <c r="AY188" s="618">
        <v>70000</v>
      </c>
      <c r="AZ188" s="620">
        <v>11000</v>
      </c>
      <c r="BA188" s="620">
        <v>0</v>
      </c>
      <c r="BB188" s="618">
        <v>11000</v>
      </c>
      <c r="BC188" s="600">
        <f>Table35[[#This Row],[Total Expenditure]]/Table35[[#This Row],[Number of pupils (FTE)]]</f>
        <v>19145.695364238411</v>
      </c>
      <c r="BD188" s="624">
        <f>Table35[[#This Row],[Total Staff Costs]]/Table35[[#This Row],[Number of pupils (FTE)]]</f>
        <v>17490.066225165563</v>
      </c>
      <c r="BE188" s="624">
        <f>Table35[[#This Row],[Teaching staff]]/Table35[[#This Row],[Number of teachers in academy (FTE)]]</f>
        <v>52295.918367346938</v>
      </c>
      <c r="BF188" s="625">
        <f>Table35[[#This Row],[Number of pupils (FTE)]]/Table35[[#This Row],[Number of teachers in academy (FTE)]]</f>
        <v>7.704081632653061</v>
      </c>
      <c r="BG188" s="600">
        <f t="shared" si="20"/>
        <v>1158.9403973509934</v>
      </c>
      <c r="BH188" s="624">
        <f>Table35[[#This Row],[Premises Costs]]/Table35[[#This Row],[Number of pupils (FTE)]]</f>
        <v>470.19867549668874</v>
      </c>
      <c r="BI188" s="624">
        <f>Table35[[#This Row],[Maintenance &amp; Improvement Costs]]/Table35[[#This Row],[Number of pupils (FTE)]]</f>
        <v>66.225165562913901</v>
      </c>
      <c r="BJ188" s="624" t="e">
        <f>#REF!/E188</f>
        <v>#REF!</v>
      </c>
      <c r="BK188" s="624">
        <f t="shared" si="21"/>
        <v>6.6225165562913908</v>
      </c>
      <c r="BL188" s="624">
        <f t="shared" si="22"/>
        <v>0</v>
      </c>
      <c r="BM188" s="624">
        <f t="shared" si="23"/>
        <v>298.01324503311258</v>
      </c>
      <c r="BN188" s="624">
        <f t="shared" si="24"/>
        <v>410.59602649006621</v>
      </c>
      <c r="BO188" s="624">
        <f t="shared" si="25"/>
        <v>39.735099337748345</v>
      </c>
      <c r="BP188" s="624">
        <f t="shared" si="26"/>
        <v>238.41059602649005</v>
      </c>
      <c r="BQ188" s="624">
        <f t="shared" si="27"/>
        <v>774.83443708609275</v>
      </c>
      <c r="BR188" s="624">
        <f t="shared" si="28"/>
        <v>463.57615894039736</v>
      </c>
      <c r="BS188" s="624">
        <f t="shared" si="29"/>
        <v>72.847682119205302</v>
      </c>
    </row>
    <row r="189" spans="1:71" ht="29" x14ac:dyDescent="0.35">
      <c r="A189" s="580">
        <v>925</v>
      </c>
      <c r="B189" s="580" t="s">
        <v>489</v>
      </c>
      <c r="C189" s="593" t="s">
        <v>346</v>
      </c>
      <c r="D189" s="593" t="s">
        <v>747</v>
      </c>
      <c r="E189" s="580">
        <v>181</v>
      </c>
      <c r="F189" s="580">
        <v>18.899999999999999</v>
      </c>
      <c r="G189" s="580" t="s">
        <v>743</v>
      </c>
      <c r="H189" s="580">
        <v>59.7</v>
      </c>
      <c r="I189" s="580">
        <v>100</v>
      </c>
      <c r="J189" s="580">
        <v>0</v>
      </c>
      <c r="K189" s="580">
        <v>0</v>
      </c>
      <c r="L189" s="581">
        <v>3056000</v>
      </c>
      <c r="M189" s="581">
        <v>3319000</v>
      </c>
      <c r="N189" s="582">
        <f>Table35[[#This Row],[Total Income]]-Table35[[#This Row],[Total Expenditure]]</f>
        <v>-263000</v>
      </c>
      <c r="O189" s="581">
        <v>804000</v>
      </c>
      <c r="P189" s="594">
        <v>1296000</v>
      </c>
      <c r="Q189" s="594">
        <v>22000</v>
      </c>
      <c r="R189" s="594">
        <v>1207000</v>
      </c>
      <c r="S189" s="594">
        <v>188000</v>
      </c>
      <c r="T189" s="594">
        <v>0</v>
      </c>
      <c r="U189" s="594">
        <v>25000</v>
      </c>
      <c r="V189" s="594">
        <v>23000</v>
      </c>
      <c r="W189" s="594">
        <v>0</v>
      </c>
      <c r="X189" s="594">
        <v>0</v>
      </c>
      <c r="Y189" s="594">
        <v>0</v>
      </c>
      <c r="Z189"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2885000</v>
      </c>
      <c r="AA189" s="595">
        <f>M189-Z189-Table35[[#This Row],[Maintenance &amp; Improvement]]-Table35[[#This Row],[Cleaning &amp; Caretaking]]-Table35[[#This Row],[Catering Supply]]</f>
        <v>358000</v>
      </c>
      <c r="AB189" s="581">
        <v>15000</v>
      </c>
      <c r="AC189" s="594">
        <v>15000</v>
      </c>
      <c r="AD189" s="594">
        <v>19000</v>
      </c>
      <c r="AE189" s="594">
        <v>106000</v>
      </c>
      <c r="AF189" s="594">
        <v>0</v>
      </c>
      <c r="AG189" s="581">
        <v>140000</v>
      </c>
      <c r="AH189" s="581">
        <v>84000</v>
      </c>
      <c r="AI189" s="596">
        <v>42000</v>
      </c>
      <c r="AJ189" s="594">
        <v>42000</v>
      </c>
      <c r="AK189" s="594">
        <v>4000</v>
      </c>
      <c r="AL189" s="594">
        <v>0</v>
      </c>
      <c r="AM189" s="594">
        <v>26000</v>
      </c>
      <c r="AN189" s="594">
        <v>0</v>
      </c>
      <c r="AO189" s="594">
        <v>4000</v>
      </c>
      <c r="AP189" s="581">
        <v>118000</v>
      </c>
      <c r="AQ189" s="594">
        <v>50000</v>
      </c>
      <c r="AR189" s="594">
        <v>20000</v>
      </c>
      <c r="AS189" s="594">
        <v>5000</v>
      </c>
      <c r="AT189" s="594">
        <v>195000</v>
      </c>
      <c r="AU189" s="581">
        <v>300000</v>
      </c>
      <c r="AV189" s="594">
        <v>50000</v>
      </c>
      <c r="AW189" s="594">
        <v>20000</v>
      </c>
      <c r="AX189" s="594">
        <v>5000</v>
      </c>
      <c r="AY189" s="581">
        <v>75000</v>
      </c>
      <c r="AZ189" s="594">
        <v>24000</v>
      </c>
      <c r="BA189" s="594">
        <v>6000</v>
      </c>
      <c r="BB189" s="581">
        <v>30000</v>
      </c>
      <c r="BC189" s="597">
        <f>Table35[[#This Row],[Total Expenditure]]/Table35[[#This Row],[Number of pupils (FTE)]]</f>
        <v>18337.016574585636</v>
      </c>
      <c r="BD189" s="598">
        <f>Table35[[#This Row],[Total Staff Costs]]/Table35[[#This Row],[Number of pupils (FTE)]]</f>
        <v>15939.226519337017</v>
      </c>
      <c r="BE189" s="598">
        <f>Table35[[#This Row],[Teaching staff]]/Table35[[#This Row],[Number of teachers in academy (FTE)]]</f>
        <v>68571.42857142858</v>
      </c>
      <c r="BF189" s="614">
        <f>Table35[[#This Row],[Number of pupils (FTE)]]/Table35[[#This Row],[Number of teachers in academy (FTE)]]</f>
        <v>9.5767195767195776</v>
      </c>
      <c r="BG189" s="626">
        <f t="shared" si="20"/>
        <v>1977.9005524861877</v>
      </c>
      <c r="BH189" s="598">
        <f>Table35[[#This Row],[Premises Costs]]/Table35[[#This Row],[Number of pupils (FTE)]]</f>
        <v>773.48066298342542</v>
      </c>
      <c r="BI189" s="598">
        <f>Table35[[#This Row],[Maintenance &amp; Improvement Costs]]/Table35[[#This Row],[Number of pupils (FTE)]]</f>
        <v>82.872928176795583</v>
      </c>
      <c r="BJ189" s="598" t="e">
        <f>#REF!/E189</f>
        <v>#REF!</v>
      </c>
      <c r="BK189" s="598">
        <f t="shared" si="21"/>
        <v>22.099447513812155</v>
      </c>
      <c r="BL189" s="598">
        <f t="shared" si="22"/>
        <v>0</v>
      </c>
      <c r="BM189" s="598">
        <f t="shared" si="23"/>
        <v>143.64640883977901</v>
      </c>
      <c r="BN189" s="598">
        <f t="shared" si="24"/>
        <v>276.24309392265195</v>
      </c>
      <c r="BO189" s="598">
        <f t="shared" si="25"/>
        <v>110.49723756906077</v>
      </c>
      <c r="BP189" s="598">
        <f t="shared" si="26"/>
        <v>1077.3480662983425</v>
      </c>
      <c r="BQ189" s="598">
        <f t="shared" si="27"/>
        <v>1657.4585635359117</v>
      </c>
      <c r="BR189" s="598">
        <f t="shared" si="28"/>
        <v>414.36464088397793</v>
      </c>
      <c r="BS189" s="598">
        <f t="shared" si="29"/>
        <v>165.74585635359117</v>
      </c>
    </row>
    <row r="190" spans="1:71" ht="29" x14ac:dyDescent="0.35">
      <c r="A190" s="580">
        <v>925</v>
      </c>
      <c r="B190" s="580" t="s">
        <v>489</v>
      </c>
      <c r="C190" s="593" t="s">
        <v>748</v>
      </c>
      <c r="D190" s="593" t="s">
        <v>528</v>
      </c>
      <c r="E190" s="580">
        <v>96</v>
      </c>
      <c r="F190" s="580">
        <v>10.16</v>
      </c>
      <c r="G190" s="580" t="s">
        <v>743</v>
      </c>
      <c r="H190" s="580">
        <v>57.3</v>
      </c>
      <c r="I190" s="580">
        <v>100</v>
      </c>
      <c r="J190" s="580">
        <v>0</v>
      </c>
      <c r="K190" s="580">
        <v>17</v>
      </c>
      <c r="L190" s="581">
        <v>1873000</v>
      </c>
      <c r="M190" s="581">
        <v>1882000</v>
      </c>
      <c r="N190" s="582">
        <f>Table35[[#This Row],[Total Income]]-Table35[[#This Row],[Total Expenditure]]</f>
        <v>-9000</v>
      </c>
      <c r="O190" s="581">
        <v>-9000</v>
      </c>
      <c r="P190" s="594">
        <v>631000</v>
      </c>
      <c r="Q190" s="594">
        <v>0</v>
      </c>
      <c r="R190" s="594">
        <v>663000</v>
      </c>
      <c r="S190" s="594">
        <v>96000</v>
      </c>
      <c r="T190" s="594">
        <v>0</v>
      </c>
      <c r="U190" s="594">
        <v>2000</v>
      </c>
      <c r="V190" s="594">
        <v>24000</v>
      </c>
      <c r="W190" s="594">
        <v>0</v>
      </c>
      <c r="X190" s="594">
        <v>0</v>
      </c>
      <c r="Y190" s="594">
        <v>75000</v>
      </c>
      <c r="Z190"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1531000</v>
      </c>
      <c r="AA190" s="595">
        <f>M190-Z190-Table35[[#This Row],[Maintenance &amp; Improvement]]-Table35[[#This Row],[Cleaning &amp; Caretaking]]-Table35[[#This Row],[Catering Supply]]</f>
        <v>202000</v>
      </c>
      <c r="AB190" s="581">
        <v>88000</v>
      </c>
      <c r="AC190" s="594">
        <v>88000</v>
      </c>
      <c r="AD190" s="594">
        <v>41000</v>
      </c>
      <c r="AE190" s="594">
        <v>42000</v>
      </c>
      <c r="AF190" s="594">
        <v>0</v>
      </c>
      <c r="AG190" s="581">
        <v>171000</v>
      </c>
      <c r="AH190" s="581">
        <v>38000</v>
      </c>
      <c r="AI190" s="596">
        <v>18000</v>
      </c>
      <c r="AJ190" s="594">
        <v>20000</v>
      </c>
      <c r="AK190" s="594">
        <v>4000</v>
      </c>
      <c r="AL190" s="594">
        <v>0</v>
      </c>
      <c r="AM190" s="594">
        <v>69000</v>
      </c>
      <c r="AN190" s="594">
        <v>3000</v>
      </c>
      <c r="AO190" s="594">
        <v>13000</v>
      </c>
      <c r="AP190" s="581">
        <v>127000</v>
      </c>
      <c r="AQ190" s="594">
        <v>51000</v>
      </c>
      <c r="AR190" s="594">
        <v>5000</v>
      </c>
      <c r="AS190" s="594">
        <v>1000</v>
      </c>
      <c r="AT190" s="594">
        <v>21000</v>
      </c>
      <c r="AU190" s="581">
        <v>86000</v>
      </c>
      <c r="AV190" s="594">
        <v>51000</v>
      </c>
      <c r="AW190" s="594">
        <v>5000</v>
      </c>
      <c r="AX190" s="594">
        <v>1000</v>
      </c>
      <c r="AY190" s="581">
        <v>57000</v>
      </c>
      <c r="AZ190" s="594">
        <v>6000</v>
      </c>
      <c r="BA190" s="594">
        <v>2000</v>
      </c>
      <c r="BB190" s="581">
        <v>8000</v>
      </c>
      <c r="BC190" s="597">
        <f>Table35[[#This Row],[Total Expenditure]]/Table35[[#This Row],[Number of pupils (FTE)]]</f>
        <v>19604.166666666668</v>
      </c>
      <c r="BD190" s="598">
        <f>Table35[[#This Row],[Total Staff Costs]]/Table35[[#This Row],[Number of pupils (FTE)]]</f>
        <v>15947.916666666666</v>
      </c>
      <c r="BE190" s="598">
        <f>Table35[[#This Row],[Teaching staff]]/Table35[[#This Row],[Number of teachers in academy (FTE)]]</f>
        <v>62106.299212598424</v>
      </c>
      <c r="BF190" s="614">
        <f>Table35[[#This Row],[Number of pupils (FTE)]]/Table35[[#This Row],[Number of teachers in academy (FTE)]]</f>
        <v>9.4488188976377945</v>
      </c>
      <c r="BG190" s="600">
        <f t="shared" si="20"/>
        <v>2104.1666666666665</v>
      </c>
      <c r="BH190" s="598">
        <f>Table35[[#This Row],[Premises Costs]]/Table35[[#This Row],[Number of pupils (FTE)]]</f>
        <v>1781.25</v>
      </c>
      <c r="BI190" s="598">
        <f>Table35[[#This Row],[Maintenance &amp; Improvement Costs]]/Table35[[#This Row],[Number of pupils (FTE)]]</f>
        <v>916.66666666666663</v>
      </c>
      <c r="BJ190" s="598" t="e">
        <f>#REF!/E190</f>
        <v>#REF!</v>
      </c>
      <c r="BK190" s="598">
        <f t="shared" si="21"/>
        <v>41.666666666666664</v>
      </c>
      <c r="BL190" s="598">
        <f t="shared" si="22"/>
        <v>0</v>
      </c>
      <c r="BM190" s="598">
        <f t="shared" si="23"/>
        <v>718.75</v>
      </c>
      <c r="BN190" s="598">
        <f t="shared" si="24"/>
        <v>531.25</v>
      </c>
      <c r="BO190" s="598">
        <f t="shared" si="25"/>
        <v>52.083333333333336</v>
      </c>
      <c r="BP190" s="598">
        <f t="shared" si="26"/>
        <v>218.75</v>
      </c>
      <c r="BQ190" s="598">
        <f t="shared" si="27"/>
        <v>895.83333333333337</v>
      </c>
      <c r="BR190" s="598">
        <f t="shared" si="28"/>
        <v>593.75</v>
      </c>
      <c r="BS190" s="598">
        <f t="shared" si="29"/>
        <v>83.333333333333329</v>
      </c>
    </row>
    <row r="191" spans="1:71" ht="29" x14ac:dyDescent="0.35">
      <c r="A191" s="580">
        <v>925</v>
      </c>
      <c r="B191" s="580" t="s">
        <v>489</v>
      </c>
      <c r="C191" s="593" t="s">
        <v>336</v>
      </c>
      <c r="D191" s="593" t="s">
        <v>747</v>
      </c>
      <c r="E191" s="580">
        <v>101</v>
      </c>
      <c r="F191" s="580">
        <v>9.4</v>
      </c>
      <c r="G191" s="580" t="s">
        <v>743</v>
      </c>
      <c r="H191" s="580">
        <v>62.4</v>
      </c>
      <c r="I191" s="580">
        <v>99</v>
      </c>
      <c r="J191" s="580">
        <v>1</v>
      </c>
      <c r="K191" s="580">
        <v>22</v>
      </c>
      <c r="L191" s="581">
        <v>2688000</v>
      </c>
      <c r="M191" s="581">
        <v>2841000</v>
      </c>
      <c r="N191" s="582">
        <f>Table35[[#This Row],[Total Income]]-Table35[[#This Row],[Total Expenditure]]</f>
        <v>-153000</v>
      </c>
      <c r="O191" s="581">
        <v>3000</v>
      </c>
      <c r="P191" s="594">
        <v>636000</v>
      </c>
      <c r="Q191" s="594">
        <v>27000</v>
      </c>
      <c r="R191" s="594">
        <v>988000</v>
      </c>
      <c r="S191" s="594">
        <v>214000</v>
      </c>
      <c r="T191" s="594">
        <v>409000</v>
      </c>
      <c r="U191" s="594">
        <v>17000</v>
      </c>
      <c r="V191" s="594">
        <v>15000</v>
      </c>
      <c r="W191" s="594">
        <v>0</v>
      </c>
      <c r="X191" s="594">
        <v>0</v>
      </c>
      <c r="Y191" s="594">
        <v>0</v>
      </c>
      <c r="Z191"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2401000</v>
      </c>
      <c r="AA191" s="595">
        <f>M191-Z191-Table35[[#This Row],[Maintenance &amp; Improvement]]-Table35[[#This Row],[Cleaning &amp; Caretaking]]-Table35[[#This Row],[Catering Supply]]</f>
        <v>304000</v>
      </c>
      <c r="AB191" s="581">
        <v>46000</v>
      </c>
      <c r="AC191" s="594">
        <v>46000</v>
      </c>
      <c r="AD191" s="594">
        <v>65000</v>
      </c>
      <c r="AE191" s="594">
        <v>61000</v>
      </c>
      <c r="AF191" s="594">
        <v>0</v>
      </c>
      <c r="AG191" s="581">
        <v>172000</v>
      </c>
      <c r="AH191" s="581">
        <v>69000</v>
      </c>
      <c r="AI191" s="596">
        <v>44000</v>
      </c>
      <c r="AJ191" s="594">
        <v>25000</v>
      </c>
      <c r="AK191" s="594">
        <v>2000</v>
      </c>
      <c r="AL191" s="594">
        <v>0</v>
      </c>
      <c r="AM191" s="594">
        <v>97000</v>
      </c>
      <c r="AN191" s="594">
        <v>0</v>
      </c>
      <c r="AO191" s="594">
        <v>2000</v>
      </c>
      <c r="AP191" s="581">
        <v>170000</v>
      </c>
      <c r="AQ191" s="594">
        <v>113000</v>
      </c>
      <c r="AR191" s="594">
        <v>6000</v>
      </c>
      <c r="AS191" s="594">
        <v>2000</v>
      </c>
      <c r="AT191" s="594">
        <v>29000</v>
      </c>
      <c r="AU191" s="581">
        <v>188000</v>
      </c>
      <c r="AV191" s="594">
        <v>113000</v>
      </c>
      <c r="AW191" s="594">
        <v>6000</v>
      </c>
      <c r="AX191" s="594">
        <v>2000</v>
      </c>
      <c r="AY191" s="581">
        <v>121000</v>
      </c>
      <c r="AZ191" s="594">
        <v>22000</v>
      </c>
      <c r="BA191" s="594">
        <v>16000</v>
      </c>
      <c r="BB191" s="581">
        <v>38000</v>
      </c>
      <c r="BC191" s="597">
        <f>Table35[[#This Row],[Total Expenditure]]/Table35[[#This Row],[Number of pupils (FTE)]]</f>
        <v>28128.712871287127</v>
      </c>
      <c r="BD191" s="598">
        <f>Table35[[#This Row],[Total Staff Costs]]/Table35[[#This Row],[Number of pupils (FTE)]]</f>
        <v>23772.27722772277</v>
      </c>
      <c r="BE191" s="598">
        <f>Table35[[#This Row],[Teaching staff]]/Table35[[#This Row],[Number of teachers in academy (FTE)]]</f>
        <v>67659.574468085106</v>
      </c>
      <c r="BF191" s="614">
        <f>Table35[[#This Row],[Number of pupils (FTE)]]/Table35[[#This Row],[Number of teachers in academy (FTE)]]</f>
        <v>10.74468085106383</v>
      </c>
      <c r="BG191" s="600">
        <f t="shared" si="20"/>
        <v>3009.90099009901</v>
      </c>
      <c r="BH191" s="598">
        <f>Table35[[#This Row],[Premises Costs]]/Table35[[#This Row],[Number of pupils (FTE)]]</f>
        <v>1702.970297029703</v>
      </c>
      <c r="BI191" s="598">
        <f>Table35[[#This Row],[Maintenance &amp; Improvement Costs]]/Table35[[#This Row],[Number of pupils (FTE)]]</f>
        <v>455.44554455445547</v>
      </c>
      <c r="BJ191" s="598" t="e">
        <f>#REF!/E191</f>
        <v>#REF!</v>
      </c>
      <c r="BK191" s="598">
        <f t="shared" si="21"/>
        <v>19.801980198019802</v>
      </c>
      <c r="BL191" s="598">
        <f t="shared" si="22"/>
        <v>0</v>
      </c>
      <c r="BM191" s="598">
        <f t="shared" si="23"/>
        <v>960.39603960396039</v>
      </c>
      <c r="BN191" s="598">
        <f t="shared" si="24"/>
        <v>1118.8118811881188</v>
      </c>
      <c r="BO191" s="598">
        <f t="shared" si="25"/>
        <v>59.405940594059409</v>
      </c>
      <c r="BP191" s="598">
        <f t="shared" si="26"/>
        <v>287.12871287128712</v>
      </c>
      <c r="BQ191" s="598">
        <f t="shared" si="27"/>
        <v>1861.3861386138615</v>
      </c>
      <c r="BR191" s="598">
        <f t="shared" si="28"/>
        <v>1198.0198019801981</v>
      </c>
      <c r="BS191" s="598">
        <f t="shared" si="29"/>
        <v>376.23762376237624</v>
      </c>
    </row>
    <row r="192" spans="1:71" s="616" customFormat="1" ht="29" x14ac:dyDescent="0.35">
      <c r="A192" s="616">
        <v>925</v>
      </c>
      <c r="B192" s="616" t="s">
        <v>489</v>
      </c>
      <c r="C192" s="617" t="s">
        <v>749</v>
      </c>
      <c r="D192" s="617" t="s">
        <v>513</v>
      </c>
      <c r="E192" s="616">
        <v>140</v>
      </c>
      <c r="F192" s="616">
        <v>13.8</v>
      </c>
      <c r="G192" s="616" t="s">
        <v>743</v>
      </c>
      <c r="H192" s="616">
        <v>39.299999999999997</v>
      </c>
      <c r="I192" s="616">
        <v>100</v>
      </c>
      <c r="J192" s="616">
        <v>0</v>
      </c>
      <c r="K192" s="616">
        <v>18</v>
      </c>
      <c r="L192" s="618">
        <v>3351000</v>
      </c>
      <c r="M192" s="618">
        <v>3146000</v>
      </c>
      <c r="N192" s="619">
        <f>Table35[[#This Row],[Total Income]]-Table35[[#This Row],[Total Expenditure]]</f>
        <v>205000</v>
      </c>
      <c r="O192" s="618">
        <v>135000</v>
      </c>
      <c r="P192" s="620">
        <v>1028000</v>
      </c>
      <c r="Q192" s="620">
        <v>0</v>
      </c>
      <c r="R192" s="620">
        <v>1426000</v>
      </c>
      <c r="S192" s="620">
        <v>151000</v>
      </c>
      <c r="T192" s="620">
        <v>10000</v>
      </c>
      <c r="U192" s="620">
        <v>2000</v>
      </c>
      <c r="V192" s="620">
        <v>13000</v>
      </c>
      <c r="W192" s="620">
        <v>0</v>
      </c>
      <c r="X192" s="620">
        <v>0</v>
      </c>
      <c r="Y192" s="620">
        <v>81000</v>
      </c>
      <c r="Z192"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2780000</v>
      </c>
      <c r="AA192" s="595">
        <f>M192-Z192-Table35[[#This Row],[Maintenance &amp; Improvement]]-Table35[[#This Row],[Cleaning &amp; Caretaking]]-Table35[[#This Row],[Catering Supply]]</f>
        <v>190000</v>
      </c>
      <c r="AB192" s="618">
        <v>77000</v>
      </c>
      <c r="AC192" s="620">
        <v>77000</v>
      </c>
      <c r="AD192" s="620">
        <v>66000</v>
      </c>
      <c r="AE192" s="620">
        <v>47000</v>
      </c>
      <c r="AF192" s="620">
        <v>0</v>
      </c>
      <c r="AG192" s="618">
        <v>190000</v>
      </c>
      <c r="AH192" s="618">
        <v>41000</v>
      </c>
      <c r="AI192" s="627">
        <v>8000</v>
      </c>
      <c r="AJ192" s="620">
        <v>33000</v>
      </c>
      <c r="AK192" s="620">
        <v>5000</v>
      </c>
      <c r="AL192" s="620">
        <v>0</v>
      </c>
      <c r="AM192" s="620">
        <v>39000</v>
      </c>
      <c r="AN192" s="620">
        <v>3000</v>
      </c>
      <c r="AO192" s="620">
        <v>54000</v>
      </c>
      <c r="AP192" s="618">
        <v>142000</v>
      </c>
      <c r="AQ192" s="620">
        <v>20000</v>
      </c>
      <c r="AR192" s="620">
        <v>12000</v>
      </c>
      <c r="AS192" s="620">
        <v>1000</v>
      </c>
      <c r="AT192" s="620">
        <v>40000</v>
      </c>
      <c r="AU192" s="618">
        <v>103000</v>
      </c>
      <c r="AV192" s="620">
        <v>20000</v>
      </c>
      <c r="AW192" s="620">
        <v>12000</v>
      </c>
      <c r="AX192" s="620">
        <v>1000</v>
      </c>
      <c r="AY192" s="618">
        <v>33000</v>
      </c>
      <c r="AZ192" s="620">
        <v>29000</v>
      </c>
      <c r="BA192" s="620">
        <v>1000</v>
      </c>
      <c r="BB192" s="618">
        <v>30000</v>
      </c>
      <c r="BC192" s="600">
        <f>Table35[[#This Row],[Total Expenditure]]/Table35[[#This Row],[Number of pupils (FTE)]]</f>
        <v>22471.428571428572</v>
      </c>
      <c r="BD192" s="624">
        <f>Table35[[#This Row],[Total Staff Costs]]/Table35[[#This Row],[Number of pupils (FTE)]]</f>
        <v>19857.142857142859</v>
      </c>
      <c r="BE192" s="624">
        <f>Table35[[#This Row],[Teaching staff]]/Table35[[#This Row],[Number of teachers in academy (FTE)]]</f>
        <v>74492.753623188401</v>
      </c>
      <c r="BF192" s="625">
        <f>Table35[[#This Row],[Number of pupils (FTE)]]/Table35[[#This Row],[Number of teachers in academy (FTE)]]</f>
        <v>10.144927536231883</v>
      </c>
      <c r="BG192" s="626">
        <f t="shared" si="20"/>
        <v>1357.1428571428571</v>
      </c>
      <c r="BH192" s="624">
        <f>Table35[[#This Row],[Premises Costs]]/Table35[[#This Row],[Number of pupils (FTE)]]</f>
        <v>1357.1428571428571</v>
      </c>
      <c r="BI192" s="624">
        <f>Table35[[#This Row],[Maintenance &amp; Improvement Costs]]/Table35[[#This Row],[Number of pupils (FTE)]]</f>
        <v>550</v>
      </c>
      <c r="BJ192" s="624" t="e">
        <f>#REF!/E192</f>
        <v>#REF!</v>
      </c>
      <c r="BK192" s="624">
        <f t="shared" si="21"/>
        <v>35.714285714285715</v>
      </c>
      <c r="BL192" s="624">
        <f t="shared" si="22"/>
        <v>0</v>
      </c>
      <c r="BM192" s="624">
        <f t="shared" si="23"/>
        <v>278.57142857142856</v>
      </c>
      <c r="BN192" s="624">
        <f t="shared" si="24"/>
        <v>142.85714285714286</v>
      </c>
      <c r="BO192" s="624">
        <f t="shared" si="25"/>
        <v>85.714285714285708</v>
      </c>
      <c r="BP192" s="624">
        <f t="shared" si="26"/>
        <v>285.71428571428572</v>
      </c>
      <c r="BQ192" s="624">
        <f t="shared" si="27"/>
        <v>735.71428571428567</v>
      </c>
      <c r="BR192" s="624">
        <f t="shared" si="28"/>
        <v>235.71428571428572</v>
      </c>
      <c r="BS192" s="624">
        <f t="shared" si="29"/>
        <v>214.28571428571428</v>
      </c>
    </row>
    <row r="193" spans="1:71" ht="29" x14ac:dyDescent="0.35">
      <c r="A193" s="580">
        <v>925</v>
      </c>
      <c r="B193" s="580" t="s">
        <v>489</v>
      </c>
      <c r="C193" s="593" t="s">
        <v>302</v>
      </c>
      <c r="D193" s="593" t="s">
        <v>516</v>
      </c>
      <c r="E193" s="580">
        <v>82</v>
      </c>
      <c r="F193" s="580">
        <v>12.1</v>
      </c>
      <c r="G193" s="580" t="s">
        <v>743</v>
      </c>
      <c r="H193" s="580">
        <v>46.3</v>
      </c>
      <c r="I193" s="580">
        <v>100</v>
      </c>
      <c r="J193" s="580">
        <v>0</v>
      </c>
      <c r="K193" s="580">
        <v>0</v>
      </c>
      <c r="L193" s="581">
        <v>2701000</v>
      </c>
      <c r="M193" s="581">
        <v>2313000</v>
      </c>
      <c r="N193" s="582">
        <f>Table35[[#This Row],[Total Income]]-Table35[[#This Row],[Total Expenditure]]</f>
        <v>388000</v>
      </c>
      <c r="O193" s="581">
        <v>0</v>
      </c>
      <c r="P193" s="594">
        <v>891000</v>
      </c>
      <c r="Q193" s="594">
        <v>0</v>
      </c>
      <c r="R193" s="594">
        <v>583000</v>
      </c>
      <c r="S193" s="594">
        <v>74000</v>
      </c>
      <c r="T193" s="594">
        <v>14000</v>
      </c>
      <c r="U193" s="594">
        <v>11000</v>
      </c>
      <c r="V193" s="594">
        <v>13000</v>
      </c>
      <c r="W193" s="594">
        <v>0</v>
      </c>
      <c r="X193" s="594">
        <v>0</v>
      </c>
      <c r="Y193" s="594">
        <v>168000</v>
      </c>
      <c r="Z193"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1789000</v>
      </c>
      <c r="AA193" s="595">
        <f>M193-Z193-Table35[[#This Row],[Maintenance &amp; Improvement]]-Table35[[#This Row],[Cleaning &amp; Caretaking]]-Table35[[#This Row],[Catering Supply]]</f>
        <v>479000</v>
      </c>
      <c r="AB193" s="581">
        <v>13000</v>
      </c>
      <c r="AC193" s="594">
        <v>13000</v>
      </c>
      <c r="AD193" s="594">
        <v>0</v>
      </c>
      <c r="AE193" s="594">
        <v>0</v>
      </c>
      <c r="AF193" s="594">
        <v>0</v>
      </c>
      <c r="AG193" s="581">
        <v>13000</v>
      </c>
      <c r="AH193" s="581">
        <v>67000</v>
      </c>
      <c r="AI193" s="596">
        <v>35000</v>
      </c>
      <c r="AJ193" s="594">
        <v>32000</v>
      </c>
      <c r="AK193" s="594">
        <v>1000</v>
      </c>
      <c r="AL193" s="594">
        <v>326000</v>
      </c>
      <c r="AM193" s="594">
        <v>21000</v>
      </c>
      <c r="AN193" s="594">
        <v>5000</v>
      </c>
      <c r="AO193" s="594">
        <v>0</v>
      </c>
      <c r="AP193" s="581">
        <v>420000</v>
      </c>
      <c r="AQ193" s="594">
        <v>45000</v>
      </c>
      <c r="AR193" s="594">
        <v>6000</v>
      </c>
      <c r="AS193" s="594">
        <v>7000</v>
      </c>
      <c r="AT193" s="594">
        <v>44000</v>
      </c>
      <c r="AU193" s="581">
        <v>126000</v>
      </c>
      <c r="AV193" s="594">
        <v>45000</v>
      </c>
      <c r="AW193" s="594">
        <v>6000</v>
      </c>
      <c r="AX193" s="594">
        <v>7000</v>
      </c>
      <c r="AY193" s="581">
        <v>58000</v>
      </c>
      <c r="AZ193" s="594">
        <v>24000</v>
      </c>
      <c r="BA193" s="594">
        <v>0</v>
      </c>
      <c r="BB193" s="581">
        <v>24000</v>
      </c>
      <c r="BC193" s="597">
        <f>Table35[[#This Row],[Total Expenditure]]/Table35[[#This Row],[Number of pupils (FTE)]]</f>
        <v>28207.317073170732</v>
      </c>
      <c r="BD193" s="598">
        <f>Table35[[#This Row],[Total Staff Costs]]/Table35[[#This Row],[Number of pupils (FTE)]]</f>
        <v>21817.073170731706</v>
      </c>
      <c r="BE193" s="598">
        <f>Table35[[#This Row],[Teaching staff]]/Table35[[#This Row],[Number of teachers in academy (FTE)]]</f>
        <v>73636.363636363632</v>
      </c>
      <c r="BF193" s="614">
        <f>Table35[[#This Row],[Number of pupils (FTE)]]/Table35[[#This Row],[Number of teachers in academy (FTE)]]</f>
        <v>6.7768595041322319</v>
      </c>
      <c r="BG193" s="600">
        <f t="shared" si="20"/>
        <v>5841.4634146341459</v>
      </c>
      <c r="BH193" s="598">
        <f>Table35[[#This Row],[Premises Costs]]/Table35[[#This Row],[Number of pupils (FTE)]]</f>
        <v>158.53658536585365</v>
      </c>
      <c r="BI193" s="598">
        <f>Table35[[#This Row],[Maintenance &amp; Improvement Costs]]/Table35[[#This Row],[Number of pupils (FTE)]]</f>
        <v>158.53658536585365</v>
      </c>
      <c r="BJ193" s="598" t="e">
        <f>#REF!/E193</f>
        <v>#REF!</v>
      </c>
      <c r="BK193" s="598">
        <f t="shared" si="21"/>
        <v>12.195121951219512</v>
      </c>
      <c r="BL193" s="598">
        <f t="shared" si="22"/>
        <v>3975.6097560975609</v>
      </c>
      <c r="BM193" s="598">
        <f t="shared" si="23"/>
        <v>256.09756097560978</v>
      </c>
      <c r="BN193" s="598">
        <f t="shared" si="24"/>
        <v>548.78048780487802</v>
      </c>
      <c r="BO193" s="598">
        <f t="shared" si="25"/>
        <v>73.170731707317074</v>
      </c>
      <c r="BP193" s="598">
        <f t="shared" si="26"/>
        <v>536.58536585365857</v>
      </c>
      <c r="BQ193" s="598">
        <f t="shared" si="27"/>
        <v>1536.5853658536585</v>
      </c>
      <c r="BR193" s="598">
        <f t="shared" si="28"/>
        <v>707.31707317073176</v>
      </c>
      <c r="BS193" s="598">
        <f t="shared" si="29"/>
        <v>292.6829268292683</v>
      </c>
    </row>
    <row r="194" spans="1:71" ht="29" x14ac:dyDescent="0.35">
      <c r="A194" s="580">
        <v>925</v>
      </c>
      <c r="B194" s="580" t="s">
        <v>489</v>
      </c>
      <c r="C194" s="593" t="s">
        <v>358</v>
      </c>
      <c r="D194" s="593" t="s">
        <v>516</v>
      </c>
      <c r="E194" s="580">
        <v>70</v>
      </c>
      <c r="F194" s="580">
        <v>12</v>
      </c>
      <c r="G194" s="580" t="s">
        <v>743</v>
      </c>
      <c r="H194" s="580">
        <v>62.9</v>
      </c>
      <c r="I194" s="580">
        <v>100</v>
      </c>
      <c r="J194" s="580">
        <v>0</v>
      </c>
      <c r="K194" s="580">
        <v>0</v>
      </c>
      <c r="L194" s="581">
        <v>2208000</v>
      </c>
      <c r="M194" s="581">
        <v>2365000</v>
      </c>
      <c r="N194" s="582">
        <f>Table35[[#This Row],[Total Income]]-Table35[[#This Row],[Total Expenditure]]</f>
        <v>-157000</v>
      </c>
      <c r="O194" s="581">
        <v>0</v>
      </c>
      <c r="P194" s="594">
        <v>1068000</v>
      </c>
      <c r="Q194" s="594">
        <v>0</v>
      </c>
      <c r="R194" s="594">
        <v>492000</v>
      </c>
      <c r="S194" s="594">
        <v>95000</v>
      </c>
      <c r="T194" s="594">
        <v>25000</v>
      </c>
      <c r="U194" s="594">
        <v>6000</v>
      </c>
      <c r="V194" s="594">
        <v>1000</v>
      </c>
      <c r="W194" s="594">
        <v>0</v>
      </c>
      <c r="X194" s="594">
        <v>0</v>
      </c>
      <c r="Y194" s="594">
        <v>57000</v>
      </c>
      <c r="Z194"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1760000</v>
      </c>
      <c r="AA194" s="595">
        <f>M194-Z194-Table35[[#This Row],[Maintenance &amp; Improvement]]-Table35[[#This Row],[Cleaning &amp; Caretaking]]-Table35[[#This Row],[Catering Supply]]</f>
        <v>531000</v>
      </c>
      <c r="AB194" s="581">
        <v>24000</v>
      </c>
      <c r="AC194" s="594">
        <v>24000</v>
      </c>
      <c r="AD194" s="594">
        <v>0</v>
      </c>
      <c r="AE194" s="594">
        <v>0</v>
      </c>
      <c r="AF194" s="594">
        <v>0</v>
      </c>
      <c r="AG194" s="581">
        <v>24000</v>
      </c>
      <c r="AH194" s="581">
        <v>50000</v>
      </c>
      <c r="AI194" s="596">
        <v>0</v>
      </c>
      <c r="AJ194" s="594">
        <v>50000</v>
      </c>
      <c r="AK194" s="594">
        <v>4000</v>
      </c>
      <c r="AL194" s="594">
        <v>365000</v>
      </c>
      <c r="AM194" s="594">
        <v>31000</v>
      </c>
      <c r="AN194" s="594">
        <v>6000</v>
      </c>
      <c r="AO194" s="594">
        <v>1000</v>
      </c>
      <c r="AP194" s="581">
        <v>457000</v>
      </c>
      <c r="AQ194" s="594">
        <v>33000</v>
      </c>
      <c r="AR194" s="594">
        <v>6000</v>
      </c>
      <c r="AS194" s="594">
        <v>8000</v>
      </c>
      <c r="AT194" s="594">
        <v>70000</v>
      </c>
      <c r="AU194" s="581">
        <v>140000</v>
      </c>
      <c r="AV194" s="594">
        <v>33000</v>
      </c>
      <c r="AW194" s="594">
        <v>6000</v>
      </c>
      <c r="AX194" s="594">
        <v>8000</v>
      </c>
      <c r="AY194" s="581">
        <v>47000</v>
      </c>
      <c r="AZ194" s="594">
        <v>23000</v>
      </c>
      <c r="BA194" s="594">
        <v>0</v>
      </c>
      <c r="BB194" s="581">
        <v>23000</v>
      </c>
      <c r="BC194" s="597">
        <f>Table35[[#This Row],[Total Expenditure]]/Table35[[#This Row],[Number of pupils (FTE)]]</f>
        <v>33785.714285714283</v>
      </c>
      <c r="BD194" s="598">
        <f>Table35[[#This Row],[Total Staff Costs]]/Table35[[#This Row],[Number of pupils (FTE)]]</f>
        <v>25142.857142857141</v>
      </c>
      <c r="BE194" s="598">
        <f>Table35[[#This Row],[Teaching staff]]/Table35[[#This Row],[Number of teachers in academy (FTE)]]</f>
        <v>89000</v>
      </c>
      <c r="BF194" s="614">
        <f>Table35[[#This Row],[Number of pupils (FTE)]]/Table35[[#This Row],[Number of teachers in academy (FTE)]]</f>
        <v>5.833333333333333</v>
      </c>
      <c r="BG194" s="600">
        <f t="shared" si="20"/>
        <v>7585.7142857142853</v>
      </c>
      <c r="BH194" s="598">
        <f>Table35[[#This Row],[Premises Costs]]/Table35[[#This Row],[Number of pupils (FTE)]]</f>
        <v>342.85714285714283</v>
      </c>
      <c r="BI194" s="598">
        <f>Table35[[#This Row],[Maintenance &amp; Improvement Costs]]/Table35[[#This Row],[Number of pupils (FTE)]]</f>
        <v>342.85714285714283</v>
      </c>
      <c r="BJ194" s="598" t="e">
        <f>#REF!/E194</f>
        <v>#REF!</v>
      </c>
      <c r="BK194" s="598">
        <f t="shared" si="21"/>
        <v>57.142857142857146</v>
      </c>
      <c r="BL194" s="598">
        <f t="shared" si="22"/>
        <v>5214.2857142857147</v>
      </c>
      <c r="BM194" s="598">
        <f t="shared" si="23"/>
        <v>442.85714285714283</v>
      </c>
      <c r="BN194" s="598">
        <f t="shared" si="24"/>
        <v>471.42857142857144</v>
      </c>
      <c r="BO194" s="598">
        <f t="shared" si="25"/>
        <v>85.714285714285708</v>
      </c>
      <c r="BP194" s="598">
        <f t="shared" si="26"/>
        <v>1000</v>
      </c>
      <c r="BQ194" s="598">
        <f t="shared" si="27"/>
        <v>2000</v>
      </c>
      <c r="BR194" s="598">
        <f t="shared" si="28"/>
        <v>671.42857142857144</v>
      </c>
      <c r="BS194" s="598">
        <f t="shared" si="29"/>
        <v>328.57142857142856</v>
      </c>
    </row>
    <row r="195" spans="1:71" ht="29" x14ac:dyDescent="0.35">
      <c r="A195" s="580">
        <v>925</v>
      </c>
      <c r="B195" s="580" t="s">
        <v>489</v>
      </c>
      <c r="C195" s="593" t="s">
        <v>750</v>
      </c>
      <c r="D195" s="593" t="s">
        <v>751</v>
      </c>
      <c r="E195" s="580">
        <v>117</v>
      </c>
      <c r="F195" s="580">
        <v>10.4</v>
      </c>
      <c r="G195" s="580" t="s">
        <v>743</v>
      </c>
      <c r="H195" s="580">
        <v>60.7</v>
      </c>
      <c r="I195" s="580">
        <v>100</v>
      </c>
      <c r="J195" s="580">
        <v>0</v>
      </c>
      <c r="K195" s="580">
        <v>0</v>
      </c>
      <c r="L195" s="628">
        <v>2129000</v>
      </c>
      <c r="M195" s="628">
        <v>2034000</v>
      </c>
      <c r="N195" s="582">
        <v>95000</v>
      </c>
      <c r="O195" s="628">
        <v>220000</v>
      </c>
      <c r="P195" s="594">
        <v>641000</v>
      </c>
      <c r="Q195" s="594">
        <v>2000</v>
      </c>
      <c r="R195" s="594">
        <v>741000</v>
      </c>
      <c r="S195" s="594">
        <v>115000</v>
      </c>
      <c r="T195" s="594">
        <v>0</v>
      </c>
      <c r="U195" s="594">
        <v>2000</v>
      </c>
      <c r="V195" s="594">
        <v>1000</v>
      </c>
      <c r="W195" s="594">
        <v>0</v>
      </c>
      <c r="X195" s="594">
        <v>0</v>
      </c>
      <c r="Y195" s="594">
        <v>21000</v>
      </c>
      <c r="Z195"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1786000</v>
      </c>
      <c r="AA195" s="595">
        <f>M195-Z195-Table35[[#This Row],[Maintenance &amp; Improvement]]-Table35[[#This Row],[Cleaning &amp; Caretaking]]-Table35[[#This Row],[Catering Supply]]</f>
        <v>139000</v>
      </c>
      <c r="AB195" s="628">
        <v>43000</v>
      </c>
      <c r="AC195" s="594">
        <v>43000</v>
      </c>
      <c r="AD195" s="594">
        <v>9000</v>
      </c>
      <c r="AE195" s="594">
        <v>70000</v>
      </c>
      <c r="AF195" s="594">
        <v>0</v>
      </c>
      <c r="AG195" s="628">
        <v>122000</v>
      </c>
      <c r="AH195" s="628">
        <v>134000</v>
      </c>
      <c r="AI195" s="594">
        <v>77000</v>
      </c>
      <c r="AJ195" s="594">
        <v>57000</v>
      </c>
      <c r="AK195" s="594">
        <v>0</v>
      </c>
      <c r="AL195" s="594">
        <v>0</v>
      </c>
      <c r="AM195" s="594">
        <v>95000</v>
      </c>
      <c r="AN195" s="594">
        <v>4000</v>
      </c>
      <c r="AO195" s="594">
        <v>6000</v>
      </c>
      <c r="AP195" s="628">
        <v>239000</v>
      </c>
      <c r="AQ195" s="594">
        <v>18000</v>
      </c>
      <c r="AR195" s="594">
        <v>2000</v>
      </c>
      <c r="AS195" s="594">
        <v>0</v>
      </c>
      <c r="AT195" s="594">
        <v>10000</v>
      </c>
      <c r="AU195" s="628">
        <v>150000</v>
      </c>
      <c r="AV195" s="594">
        <v>18000</v>
      </c>
      <c r="AW195" s="594">
        <v>2000</v>
      </c>
      <c r="AX195" s="594">
        <v>0</v>
      </c>
      <c r="AY195" s="628">
        <v>20000</v>
      </c>
      <c r="AZ195" s="594">
        <v>119000</v>
      </c>
      <c r="BA195" s="594">
        <v>1000</v>
      </c>
      <c r="BB195" s="628">
        <v>120000</v>
      </c>
      <c r="BC195" s="597">
        <f>Table35[[#This Row],[Total Expenditure]]/Table35[[#This Row],[Number of pupils (FTE)]]</f>
        <v>17384.615384615383</v>
      </c>
      <c r="BD195" s="598">
        <f>Table35[[#This Row],[Total Staff Costs]]/Table35[[#This Row],[Number of pupils (FTE)]]</f>
        <v>15264.957264957266</v>
      </c>
      <c r="BE195" s="598">
        <f>Table35[[#This Row],[Teaching staff]]/Table35[[#This Row],[Number of teachers in academy (FTE)]]</f>
        <v>61634.615384615383</v>
      </c>
      <c r="BF195" s="614">
        <f>Table35[[#This Row],[Number of pupils (FTE)]]/Table35[[#This Row],[Number of teachers in academy (FTE)]]</f>
        <v>11.25</v>
      </c>
      <c r="BG195" s="600">
        <f t="shared" ref="BG195:BG202" si="30">AA195/E195</f>
        <v>1188.034188034188</v>
      </c>
      <c r="BH195" s="598">
        <f>Table35[[#This Row],[Premises Costs]]/Table35[[#This Row],[Number of pupils (FTE)]]</f>
        <v>1042.7350427350427</v>
      </c>
      <c r="BI195" s="598">
        <f>Table35[[#This Row],[Maintenance &amp; Improvement Costs]]/Table35[[#This Row],[Number of pupils (FTE)]]</f>
        <v>367.52136752136749</v>
      </c>
      <c r="BJ195" s="598" t="e">
        <f>#REF!/E195</f>
        <v>#REF!</v>
      </c>
      <c r="BK195" s="598">
        <f t="shared" ref="BK195:BK202" si="31">AK195/E195</f>
        <v>0</v>
      </c>
      <c r="BL195" s="598">
        <f t="shared" ref="BL195:BL202" si="32">AL195/E195</f>
        <v>0</v>
      </c>
      <c r="BM195" s="598">
        <f t="shared" ref="BM195:BM202" si="33">AM195/E195</f>
        <v>811.96581196581201</v>
      </c>
      <c r="BN195" s="598">
        <f t="shared" ref="BN195:BN202" si="34">AQ195/E195</f>
        <v>153.84615384615384</v>
      </c>
      <c r="BO195" s="598">
        <f t="shared" ref="BO195:BO202" si="35">AR195/E195</f>
        <v>17.094017094017094</v>
      </c>
      <c r="BP195" s="598">
        <f t="shared" ref="BP195:BP202" si="36">AT195/E195</f>
        <v>85.470085470085465</v>
      </c>
      <c r="BQ195" s="598">
        <f t="shared" ref="BQ195:BQ202" si="37">AU195/E195</f>
        <v>1282.051282051282</v>
      </c>
      <c r="BR195" s="598">
        <f t="shared" ref="BR195:BR202" si="38">AY195/E195</f>
        <v>170.94017094017093</v>
      </c>
      <c r="BS195" s="598">
        <f t="shared" ref="BS195:BS202" si="39">BB195/E195</f>
        <v>1025.6410256410256</v>
      </c>
    </row>
    <row r="196" spans="1:71" s="616" customFormat="1" ht="29" x14ac:dyDescent="0.35">
      <c r="A196" s="616">
        <v>925</v>
      </c>
      <c r="B196" s="616" t="s">
        <v>489</v>
      </c>
      <c r="C196" s="617" t="s">
        <v>752</v>
      </c>
      <c r="D196" s="617" t="s">
        <v>751</v>
      </c>
      <c r="E196" s="616">
        <v>142</v>
      </c>
      <c r="F196" s="616">
        <v>17.2</v>
      </c>
      <c r="G196" s="616" t="s">
        <v>743</v>
      </c>
      <c r="H196" s="616">
        <v>58.5</v>
      </c>
      <c r="I196" s="616">
        <v>100</v>
      </c>
      <c r="J196" s="616">
        <v>0</v>
      </c>
      <c r="K196" s="616">
        <v>28</v>
      </c>
      <c r="L196" s="629">
        <v>2449000</v>
      </c>
      <c r="M196" s="629">
        <v>2462000</v>
      </c>
      <c r="N196" s="619">
        <v>-13000</v>
      </c>
      <c r="O196" s="629">
        <v>167000</v>
      </c>
      <c r="P196" s="620">
        <v>1016000</v>
      </c>
      <c r="Q196" s="620">
        <v>9000</v>
      </c>
      <c r="R196" s="620">
        <v>842000</v>
      </c>
      <c r="S196" s="620">
        <v>117000</v>
      </c>
      <c r="T196" s="620">
        <v>0</v>
      </c>
      <c r="U196" s="620">
        <v>2000</v>
      </c>
      <c r="V196" s="620">
        <v>0</v>
      </c>
      <c r="W196" s="620">
        <v>0</v>
      </c>
      <c r="X196" s="620">
        <v>0</v>
      </c>
      <c r="Y196" s="620">
        <v>23000</v>
      </c>
      <c r="Z196"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2226000</v>
      </c>
      <c r="AA196" s="595">
        <f>M196-Z196-Table35[[#This Row],[Maintenance &amp; Improvement]]-Table35[[#This Row],[Cleaning &amp; Caretaking]]-Table35[[#This Row],[Catering Supply]]</f>
        <v>160000</v>
      </c>
      <c r="AB196" s="629">
        <v>17000</v>
      </c>
      <c r="AC196" s="620">
        <v>17000</v>
      </c>
      <c r="AD196" s="620">
        <v>7000</v>
      </c>
      <c r="AE196" s="620">
        <v>89000</v>
      </c>
      <c r="AF196" s="620">
        <v>0</v>
      </c>
      <c r="AG196" s="629">
        <v>113000</v>
      </c>
      <c r="AH196" s="629">
        <v>70000</v>
      </c>
      <c r="AI196" s="620">
        <v>18000</v>
      </c>
      <c r="AJ196" s="620">
        <v>52000</v>
      </c>
      <c r="AK196" s="620">
        <v>4000</v>
      </c>
      <c r="AL196" s="620">
        <v>0</v>
      </c>
      <c r="AM196" s="620">
        <v>70000</v>
      </c>
      <c r="AN196" s="620">
        <v>8000</v>
      </c>
      <c r="AO196" s="620">
        <v>4000</v>
      </c>
      <c r="AP196" s="629">
        <v>156000</v>
      </c>
      <c r="AQ196" s="620">
        <v>36000</v>
      </c>
      <c r="AR196" s="620">
        <v>10000</v>
      </c>
      <c r="AS196" s="620">
        <v>4000</v>
      </c>
      <c r="AT196" s="620">
        <v>21000</v>
      </c>
      <c r="AU196" s="629">
        <v>184000</v>
      </c>
      <c r="AV196" s="620">
        <v>36000</v>
      </c>
      <c r="AW196" s="620">
        <v>10000</v>
      </c>
      <c r="AX196" s="620">
        <v>4000</v>
      </c>
      <c r="AY196" s="629">
        <v>50000</v>
      </c>
      <c r="AZ196" s="620">
        <v>112000</v>
      </c>
      <c r="BA196" s="620">
        <v>1000</v>
      </c>
      <c r="BB196" s="629">
        <v>113000</v>
      </c>
      <c r="BC196" s="600">
        <f>Table35[[#This Row],[Total Expenditure]]/Table35[[#This Row],[Number of pupils (FTE)]]</f>
        <v>17338.028169014084</v>
      </c>
      <c r="BD196" s="624">
        <f>Table35[[#This Row],[Total Staff Costs]]/Table35[[#This Row],[Number of pupils (FTE)]]</f>
        <v>15676.056338028169</v>
      </c>
      <c r="BE196" s="624">
        <f>Table35[[#This Row],[Teaching staff]]/Table35[[#This Row],[Number of teachers in academy (FTE)]]</f>
        <v>59069.767441860466</v>
      </c>
      <c r="BF196" s="625">
        <f>Table35[[#This Row],[Number of pupils (FTE)]]/Table35[[#This Row],[Number of teachers in academy (FTE)]]</f>
        <v>8.2558139534883725</v>
      </c>
      <c r="BG196" s="626">
        <f t="shared" si="30"/>
        <v>1126.7605633802816</v>
      </c>
      <c r="BH196" s="624">
        <f>Table35[[#This Row],[Premises Costs]]/Table35[[#This Row],[Number of pupils (FTE)]]</f>
        <v>795.77464788732391</v>
      </c>
      <c r="BI196" s="624">
        <f>Table35[[#This Row],[Maintenance &amp; Improvement Costs]]/Table35[[#This Row],[Number of pupils (FTE)]]</f>
        <v>119.71830985915493</v>
      </c>
      <c r="BJ196" s="624" t="e">
        <f>#REF!/E196</f>
        <v>#REF!</v>
      </c>
      <c r="BK196" s="624">
        <f t="shared" si="31"/>
        <v>28.169014084507044</v>
      </c>
      <c r="BL196" s="624">
        <f t="shared" si="32"/>
        <v>0</v>
      </c>
      <c r="BM196" s="624">
        <f t="shared" si="33"/>
        <v>492.95774647887322</v>
      </c>
      <c r="BN196" s="624">
        <f t="shared" si="34"/>
        <v>253.52112676056339</v>
      </c>
      <c r="BO196" s="624">
        <f t="shared" si="35"/>
        <v>70.422535211267601</v>
      </c>
      <c r="BP196" s="624">
        <f t="shared" si="36"/>
        <v>147.88732394366198</v>
      </c>
      <c r="BQ196" s="624">
        <f t="shared" si="37"/>
        <v>1295.7746478873239</v>
      </c>
      <c r="BR196" s="624">
        <f t="shared" si="38"/>
        <v>352.11267605633805</v>
      </c>
      <c r="BS196" s="624">
        <f t="shared" si="39"/>
        <v>795.77464788732391</v>
      </c>
    </row>
    <row r="197" spans="1:71" ht="19" customHeight="1" x14ac:dyDescent="0.35">
      <c r="A197" s="580">
        <v>925</v>
      </c>
      <c r="B197" s="580" t="s">
        <v>489</v>
      </c>
      <c r="C197" s="593" t="s">
        <v>753</v>
      </c>
      <c r="D197" s="593" t="s">
        <v>754</v>
      </c>
      <c r="E197" s="580">
        <v>5</v>
      </c>
      <c r="F197" s="580">
        <v>15.4</v>
      </c>
      <c r="G197" s="580" t="s">
        <v>743</v>
      </c>
      <c r="H197" s="580">
        <v>60</v>
      </c>
      <c r="I197" s="580">
        <v>80</v>
      </c>
      <c r="J197" s="580">
        <v>20</v>
      </c>
      <c r="K197" s="580">
        <v>0</v>
      </c>
      <c r="L197" s="581">
        <v>2878744</v>
      </c>
      <c r="M197" s="581">
        <v>2881305</v>
      </c>
      <c r="N197" s="582">
        <f>Table35[[#This Row],[Total Income]]-Table35[[#This Row],[Total Expenditure]]</f>
        <v>-2561</v>
      </c>
      <c r="O197" s="581">
        <v>189313</v>
      </c>
      <c r="P197" s="594">
        <v>1467563</v>
      </c>
      <c r="Q197" s="594">
        <v>0</v>
      </c>
      <c r="R197" s="594">
        <v>211903</v>
      </c>
      <c r="S197" s="594">
        <v>390920</v>
      </c>
      <c r="T197" s="594">
        <v>431654</v>
      </c>
      <c r="U197" s="594">
        <v>94114</v>
      </c>
      <c r="V197" s="594">
        <v>9372</v>
      </c>
      <c r="W197" s="594">
        <v>14476</v>
      </c>
      <c r="X197" s="594">
        <v>0</v>
      </c>
      <c r="Y197" s="594">
        <v>1920</v>
      </c>
      <c r="Z197"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2515523</v>
      </c>
      <c r="AA197" s="595">
        <f>M197-Z197-Table35[[#This Row],[Maintenance &amp; Improvement]]-Table35[[#This Row],[Cleaning &amp; Caretaking]]-Table35[[#This Row],[Catering Supply]]</f>
        <v>284484</v>
      </c>
      <c r="AB197" s="581">
        <v>31258</v>
      </c>
      <c r="AC197" s="594">
        <v>31258</v>
      </c>
      <c r="AD197" s="594">
        <v>37230</v>
      </c>
      <c r="AE197" s="594">
        <v>3039</v>
      </c>
      <c r="AF197" s="594">
        <v>0</v>
      </c>
      <c r="AG197" s="581">
        <v>71527</v>
      </c>
      <c r="AH197" s="581">
        <v>12810</v>
      </c>
      <c r="AI197" s="594">
        <v>0</v>
      </c>
      <c r="AJ197" s="594">
        <v>12810</v>
      </c>
      <c r="AK197" s="594">
        <v>3609</v>
      </c>
      <c r="AL197" s="594">
        <v>0</v>
      </c>
      <c r="AM197" s="594">
        <v>34996</v>
      </c>
      <c r="AN197" s="594">
        <v>4944</v>
      </c>
      <c r="AO197" s="594">
        <v>9411</v>
      </c>
      <c r="AP197" s="581">
        <v>65770</v>
      </c>
      <c r="AQ197" s="594">
        <v>29096</v>
      </c>
      <c r="AR197" s="594">
        <v>48250</v>
      </c>
      <c r="AS197" s="594">
        <v>7583</v>
      </c>
      <c r="AT197" s="594">
        <v>11844</v>
      </c>
      <c r="AU197" s="581">
        <v>116827</v>
      </c>
      <c r="AV197" s="594">
        <v>29096</v>
      </c>
      <c r="AW197" s="594">
        <v>48250</v>
      </c>
      <c r="AX197" s="594">
        <v>7583</v>
      </c>
      <c r="AY197" s="581">
        <v>84928</v>
      </c>
      <c r="AZ197" s="594">
        <v>8524</v>
      </c>
      <c r="BA197" s="594">
        <v>11530</v>
      </c>
      <c r="BB197" s="581">
        <v>20055</v>
      </c>
      <c r="BC197" s="597">
        <f>Table35[[#This Row],[Total Expenditure]]/Table35[[#This Row],[Number of pupils (FTE)]]</f>
        <v>576261</v>
      </c>
      <c r="BD197" s="598">
        <f>Table35[[#This Row],[Total Staff Costs]]/Table35[[#This Row],[Number of pupils (FTE)]]</f>
        <v>503104.6</v>
      </c>
      <c r="BE197" s="598">
        <f>Table35[[#This Row],[Teaching staff]]/Table35[[#This Row],[Number of teachers in academy (FTE)]]</f>
        <v>95296.2987012987</v>
      </c>
      <c r="BF197" s="614">
        <f>Table35[[#This Row],[Number of pupils (FTE)]]/Table35[[#This Row],[Number of teachers in academy (FTE)]]</f>
        <v>0.32467532467532467</v>
      </c>
      <c r="BG197" s="600">
        <f t="shared" si="30"/>
        <v>56896.800000000003</v>
      </c>
      <c r="BH197" s="598">
        <f>Table35[[#This Row],[Premises Costs]]/Table35[[#This Row],[Number of pupils (FTE)]]</f>
        <v>14305.4</v>
      </c>
      <c r="BI197" s="598">
        <f>Table35[[#This Row],[Maintenance &amp; Improvement Costs]]/Table35[[#This Row],[Number of pupils (FTE)]]</f>
        <v>6251.6</v>
      </c>
      <c r="BJ197" s="598" t="e">
        <f>#REF!/E197</f>
        <v>#REF!</v>
      </c>
      <c r="BK197" s="598">
        <f t="shared" si="31"/>
        <v>721.8</v>
      </c>
      <c r="BL197" s="598">
        <f t="shared" si="32"/>
        <v>0</v>
      </c>
      <c r="BM197" s="598">
        <f t="shared" si="33"/>
        <v>6999.2</v>
      </c>
      <c r="BN197" s="598">
        <f t="shared" si="34"/>
        <v>5819.2</v>
      </c>
      <c r="BO197" s="598">
        <f t="shared" si="35"/>
        <v>9650</v>
      </c>
      <c r="BP197" s="598">
        <f t="shared" si="36"/>
        <v>2368.8000000000002</v>
      </c>
      <c r="BQ197" s="598">
        <f t="shared" si="37"/>
        <v>23365.4</v>
      </c>
      <c r="BR197" s="598">
        <f t="shared" si="38"/>
        <v>16985.599999999999</v>
      </c>
      <c r="BS197" s="598">
        <f t="shared" si="39"/>
        <v>4011</v>
      </c>
    </row>
    <row r="198" spans="1:71" ht="29" x14ac:dyDescent="0.35">
      <c r="A198" s="580">
        <v>925</v>
      </c>
      <c r="B198" s="580" t="s">
        <v>489</v>
      </c>
      <c r="C198" s="593" t="s">
        <v>755</v>
      </c>
      <c r="D198" s="593" t="s">
        <v>754</v>
      </c>
      <c r="E198" s="580">
        <v>312</v>
      </c>
      <c r="F198" s="580">
        <v>36.5</v>
      </c>
      <c r="G198" s="580" t="s">
        <v>743</v>
      </c>
      <c r="H198" s="580">
        <v>49.4</v>
      </c>
      <c r="I198" s="580">
        <v>100</v>
      </c>
      <c r="J198" s="580">
        <v>0</v>
      </c>
      <c r="K198" s="580">
        <v>0</v>
      </c>
      <c r="L198" s="581">
        <v>6118610</v>
      </c>
      <c r="M198" s="581">
        <v>6775194</v>
      </c>
      <c r="N198" s="582">
        <f>Table35[[#This Row],[Total Income]]-Table35[[#This Row],[Total Expenditure]]</f>
        <v>-656584</v>
      </c>
      <c r="O198" s="581">
        <v>-1533642</v>
      </c>
      <c r="P198" s="594">
        <v>2467811</v>
      </c>
      <c r="Q198" s="594">
        <v>0</v>
      </c>
      <c r="R198" s="594">
        <v>2450088</v>
      </c>
      <c r="S198" s="594">
        <v>155186</v>
      </c>
      <c r="T198" s="594">
        <v>187281</v>
      </c>
      <c r="U198" s="594">
        <v>23777</v>
      </c>
      <c r="V198" s="594">
        <v>24786</v>
      </c>
      <c r="W198" s="594">
        <v>39074</v>
      </c>
      <c r="X198" s="594">
        <v>40120</v>
      </c>
      <c r="Y198" s="594">
        <v>474607</v>
      </c>
      <c r="Z198"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5899678</v>
      </c>
      <c r="AA198" s="595">
        <f>M198-Z198-Table35[[#This Row],[Maintenance &amp; Improvement]]-Table35[[#This Row],[Cleaning &amp; Caretaking]]-Table35[[#This Row],[Catering Supply]]</f>
        <v>611818</v>
      </c>
      <c r="AB198" s="581">
        <v>50902</v>
      </c>
      <c r="AC198" s="594">
        <v>50902</v>
      </c>
      <c r="AD198" s="594">
        <v>121635</v>
      </c>
      <c r="AE198" s="594">
        <v>78398</v>
      </c>
      <c r="AF198" s="594">
        <v>0</v>
      </c>
      <c r="AG198" s="581">
        <v>250934</v>
      </c>
      <c r="AH198" s="581">
        <v>170650</v>
      </c>
      <c r="AI198" s="594">
        <v>79489</v>
      </c>
      <c r="AJ198" s="594">
        <v>91161</v>
      </c>
      <c r="AK198" s="594">
        <v>19083</v>
      </c>
      <c r="AL198" s="594">
        <v>0</v>
      </c>
      <c r="AM198" s="594">
        <v>135371</v>
      </c>
      <c r="AN198" s="594">
        <v>35453</v>
      </c>
      <c r="AO198" s="594">
        <v>19946</v>
      </c>
      <c r="AP198" s="581">
        <v>380503</v>
      </c>
      <c r="AQ198" s="594">
        <v>145450</v>
      </c>
      <c r="AR198" s="594">
        <v>67954</v>
      </c>
      <c r="AS198" s="594">
        <v>0</v>
      </c>
      <c r="AT198" s="594">
        <v>6250</v>
      </c>
      <c r="AU198" s="581">
        <v>258117</v>
      </c>
      <c r="AV198" s="594">
        <v>145450</v>
      </c>
      <c r="AW198" s="594">
        <v>67954</v>
      </c>
      <c r="AX198" s="594">
        <v>0</v>
      </c>
      <c r="AY198" s="581">
        <v>213404</v>
      </c>
      <c r="AZ198" s="594">
        <v>6818</v>
      </c>
      <c r="BA198" s="594">
        <v>31645</v>
      </c>
      <c r="BB198" s="581">
        <v>38463</v>
      </c>
      <c r="BC198" s="597">
        <f>Table35[[#This Row],[Total Expenditure]]/Table35[[#This Row],[Number of pupils (FTE)]]</f>
        <v>21715.365384615383</v>
      </c>
      <c r="BD198" s="598">
        <f>Table35[[#This Row],[Total Staff Costs]]/Table35[[#This Row],[Number of pupils (FTE)]]</f>
        <v>18909.224358974359</v>
      </c>
      <c r="BE198" s="598">
        <f>Table35[[#This Row],[Teaching staff]]/Table35[[#This Row],[Number of teachers in academy (FTE)]]</f>
        <v>67611.260273972599</v>
      </c>
      <c r="BF198" s="614">
        <f>Table35[[#This Row],[Number of pupils (FTE)]]/Table35[[#This Row],[Number of teachers in academy (FTE)]]</f>
        <v>8.5479452054794525</v>
      </c>
      <c r="BG198" s="626">
        <f t="shared" si="30"/>
        <v>1960.9551282051282</v>
      </c>
      <c r="BH198" s="598">
        <f>Table35[[#This Row],[Premises Costs]]/Table35[[#This Row],[Number of pupils (FTE)]]</f>
        <v>804.27564102564099</v>
      </c>
      <c r="BI198" s="598">
        <f>Table35[[#This Row],[Maintenance &amp; Improvement Costs]]/Table35[[#This Row],[Number of pupils (FTE)]]</f>
        <v>163.14743589743588</v>
      </c>
      <c r="BJ198" s="598" t="e">
        <f>#REF!/E198</f>
        <v>#REF!</v>
      </c>
      <c r="BK198" s="598">
        <f t="shared" si="31"/>
        <v>61.16346153846154</v>
      </c>
      <c r="BL198" s="598">
        <f t="shared" si="32"/>
        <v>0</v>
      </c>
      <c r="BM198" s="598">
        <f t="shared" si="33"/>
        <v>433.88141025641028</v>
      </c>
      <c r="BN198" s="598">
        <f t="shared" si="34"/>
        <v>466.18589743589746</v>
      </c>
      <c r="BO198" s="598">
        <f t="shared" si="35"/>
        <v>217.80128205128204</v>
      </c>
      <c r="BP198" s="598">
        <f t="shared" si="36"/>
        <v>20.032051282051281</v>
      </c>
      <c r="BQ198" s="598">
        <f t="shared" si="37"/>
        <v>827.29807692307691</v>
      </c>
      <c r="BR198" s="598">
        <f t="shared" si="38"/>
        <v>683.98717948717945</v>
      </c>
      <c r="BS198" s="598">
        <f t="shared" si="39"/>
        <v>123.27884615384616</v>
      </c>
    </row>
    <row r="199" spans="1:71" ht="29" x14ac:dyDescent="0.35">
      <c r="A199" s="580">
        <v>925</v>
      </c>
      <c r="B199" s="580" t="s">
        <v>489</v>
      </c>
      <c r="C199" s="593" t="s">
        <v>756</v>
      </c>
      <c r="D199" s="593" t="s">
        <v>754</v>
      </c>
      <c r="E199" s="580">
        <v>176</v>
      </c>
      <c r="F199" s="580">
        <v>24.6</v>
      </c>
      <c r="G199" s="580" t="s">
        <v>743</v>
      </c>
      <c r="H199" s="580">
        <v>51.7</v>
      </c>
      <c r="I199" s="580">
        <v>100</v>
      </c>
      <c r="J199" s="580">
        <v>0</v>
      </c>
      <c r="K199" s="580">
        <v>0</v>
      </c>
      <c r="L199" s="581">
        <v>4813233</v>
      </c>
      <c r="M199" s="581">
        <v>5193447</v>
      </c>
      <c r="N199" s="582">
        <f>Table35[[#This Row],[Total Income]]-Table35[[#This Row],[Total Expenditure]]</f>
        <v>-380214</v>
      </c>
      <c r="O199" s="581">
        <v>-1185232</v>
      </c>
      <c r="P199" s="594">
        <v>1524944</v>
      </c>
      <c r="Q199" s="594">
        <v>49852</v>
      </c>
      <c r="R199" s="594">
        <v>2531953</v>
      </c>
      <c r="S199" s="594">
        <v>211772</v>
      </c>
      <c r="T199" s="594">
        <v>58011</v>
      </c>
      <c r="U199" s="594">
        <v>37104</v>
      </c>
      <c r="V199" s="594">
        <v>9089</v>
      </c>
      <c r="W199" s="594">
        <v>47890</v>
      </c>
      <c r="X199" s="594">
        <v>28372</v>
      </c>
      <c r="Y199" s="594">
        <v>30462</v>
      </c>
      <c r="Z199"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4564666</v>
      </c>
      <c r="AA199" s="595">
        <f>M199-Z199-Table35[[#This Row],[Maintenance &amp; Improvement]]-Table35[[#This Row],[Cleaning &amp; Caretaking]]-Table35[[#This Row],[Catering Supply]]</f>
        <v>506371</v>
      </c>
      <c r="AB199" s="581">
        <v>13484</v>
      </c>
      <c r="AC199" s="594">
        <v>13484</v>
      </c>
      <c r="AD199" s="594">
        <v>53282</v>
      </c>
      <c r="AE199" s="594">
        <v>93594</v>
      </c>
      <c r="AF199" s="594">
        <v>0</v>
      </c>
      <c r="AG199" s="581">
        <v>160360</v>
      </c>
      <c r="AH199" s="581">
        <v>113242</v>
      </c>
      <c r="AI199" s="594">
        <v>57598</v>
      </c>
      <c r="AJ199" s="594">
        <v>55644</v>
      </c>
      <c r="AK199" s="594">
        <v>16811</v>
      </c>
      <c r="AL199" s="594">
        <v>0</v>
      </c>
      <c r="AM199" s="594">
        <v>114262</v>
      </c>
      <c r="AN199" s="594">
        <v>25616</v>
      </c>
      <c r="AO199" s="594">
        <v>42375</v>
      </c>
      <c r="AP199" s="581">
        <v>312306</v>
      </c>
      <c r="AQ199" s="594">
        <v>69850</v>
      </c>
      <c r="AR199" s="594">
        <v>57920</v>
      </c>
      <c r="AS199" s="594">
        <v>1504</v>
      </c>
      <c r="AT199" s="594">
        <v>33577</v>
      </c>
      <c r="AU199" s="581">
        <v>186622</v>
      </c>
      <c r="AV199" s="594">
        <v>69850</v>
      </c>
      <c r="AW199" s="594">
        <v>57920</v>
      </c>
      <c r="AX199" s="594">
        <v>1504</v>
      </c>
      <c r="AY199" s="581">
        <v>129272</v>
      </c>
      <c r="AZ199" s="594">
        <v>6480</v>
      </c>
      <c r="BA199" s="594">
        <v>17293</v>
      </c>
      <c r="BB199" s="581">
        <v>23773</v>
      </c>
      <c r="BC199" s="597">
        <f>Table35[[#This Row],[Total Expenditure]]/Table35[[#This Row],[Number of pupils (FTE)]]</f>
        <v>29508.221590909092</v>
      </c>
      <c r="BD199" s="598">
        <f>Table35[[#This Row],[Total Staff Costs]]/Table35[[#This Row],[Number of pupils (FTE)]]</f>
        <v>25935.602272727272</v>
      </c>
      <c r="BE199" s="598">
        <f>Table35[[#This Row],[Teaching staff]]/Table35[[#This Row],[Number of teachers in academy (FTE)]]</f>
        <v>61989.593495934954</v>
      </c>
      <c r="BF199" s="614">
        <f>Table35[[#This Row],[Number of pupils (FTE)]]/Table35[[#This Row],[Number of teachers in academy (FTE)]]</f>
        <v>7.154471544715447</v>
      </c>
      <c r="BG199" s="600">
        <f t="shared" si="30"/>
        <v>2877.1079545454545</v>
      </c>
      <c r="BH199" s="598">
        <f>Table35[[#This Row],[Premises Costs]]/Table35[[#This Row],[Number of pupils (FTE)]]</f>
        <v>911.13636363636363</v>
      </c>
      <c r="BI199" s="598">
        <f>Table35[[#This Row],[Maintenance &amp; Improvement Costs]]/Table35[[#This Row],[Number of pupils (FTE)]]</f>
        <v>76.61363636363636</v>
      </c>
      <c r="BJ199" s="598" t="e">
        <f>#REF!/E199</f>
        <v>#REF!</v>
      </c>
      <c r="BK199" s="598">
        <f t="shared" si="31"/>
        <v>95.517045454545453</v>
      </c>
      <c r="BL199" s="598">
        <f t="shared" si="32"/>
        <v>0</v>
      </c>
      <c r="BM199" s="598">
        <f t="shared" si="33"/>
        <v>649.21590909090912</v>
      </c>
      <c r="BN199" s="598">
        <f t="shared" si="34"/>
        <v>396.875</v>
      </c>
      <c r="BO199" s="598">
        <f t="shared" si="35"/>
        <v>329.09090909090907</v>
      </c>
      <c r="BP199" s="598">
        <f t="shared" si="36"/>
        <v>190.77840909090909</v>
      </c>
      <c r="BQ199" s="598">
        <f t="shared" si="37"/>
        <v>1060.3522727272727</v>
      </c>
      <c r="BR199" s="598">
        <f t="shared" si="38"/>
        <v>734.5</v>
      </c>
      <c r="BS199" s="598">
        <f t="shared" si="39"/>
        <v>135.07386363636363</v>
      </c>
    </row>
    <row r="200" spans="1:71" x14ac:dyDescent="0.35">
      <c r="A200" s="580">
        <v>925</v>
      </c>
      <c r="B200" s="580" t="s">
        <v>489</v>
      </c>
      <c r="C200" s="593" t="s">
        <v>356</v>
      </c>
      <c r="D200" s="593" t="s">
        <v>754</v>
      </c>
      <c r="E200" s="580">
        <v>80</v>
      </c>
      <c r="F200" s="580">
        <v>12.6</v>
      </c>
      <c r="G200" s="580" t="s">
        <v>743</v>
      </c>
      <c r="H200" s="580">
        <v>68.8</v>
      </c>
      <c r="I200" s="580">
        <v>98.8</v>
      </c>
      <c r="J200" s="580">
        <v>1.3</v>
      </c>
      <c r="K200" s="580">
        <v>0</v>
      </c>
      <c r="L200" s="581">
        <v>2511332</v>
      </c>
      <c r="M200" s="581">
        <v>2427105</v>
      </c>
      <c r="N200" s="582">
        <f>Table35[[#This Row],[Total Income]]-Table35[[#This Row],[Total Expenditure]]</f>
        <v>84227</v>
      </c>
      <c r="O200" s="581">
        <v>767878</v>
      </c>
      <c r="P200" s="594">
        <v>907242</v>
      </c>
      <c r="Q200" s="594">
        <v>0</v>
      </c>
      <c r="R200" s="594">
        <v>650419</v>
      </c>
      <c r="S200" s="594">
        <v>174562</v>
      </c>
      <c r="T200" s="594">
        <v>5739</v>
      </c>
      <c r="U200" s="594">
        <v>9924</v>
      </c>
      <c r="V200" s="594">
        <v>24412</v>
      </c>
      <c r="W200" s="594">
        <v>6537</v>
      </c>
      <c r="X200" s="594">
        <v>8364</v>
      </c>
      <c r="Y200" s="594">
        <v>29512</v>
      </c>
      <c r="Z200"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1823943</v>
      </c>
      <c r="AA200" s="595">
        <f>M200-Z200-Table35[[#This Row],[Maintenance &amp; Improvement]]-Table35[[#This Row],[Cleaning &amp; Caretaking]]-Table35[[#This Row],[Catering Supply]]</f>
        <v>448545</v>
      </c>
      <c r="AB200" s="581">
        <v>14437</v>
      </c>
      <c r="AC200" s="594">
        <v>14437</v>
      </c>
      <c r="AD200" s="594">
        <v>73051</v>
      </c>
      <c r="AE200" s="594">
        <v>3648</v>
      </c>
      <c r="AF200" s="594">
        <v>169015</v>
      </c>
      <c r="AG200" s="581">
        <v>260152</v>
      </c>
      <c r="AH200" s="581">
        <v>115287</v>
      </c>
      <c r="AI200" s="594">
        <v>48158</v>
      </c>
      <c r="AJ200" s="594">
        <v>67129</v>
      </c>
      <c r="AK200" s="594">
        <v>4425</v>
      </c>
      <c r="AL200" s="594">
        <v>0</v>
      </c>
      <c r="AM200" s="594">
        <v>39365</v>
      </c>
      <c r="AN200" s="594">
        <v>7059</v>
      </c>
      <c r="AO200" s="594">
        <v>2060</v>
      </c>
      <c r="AP200" s="581">
        <v>168195</v>
      </c>
      <c r="AQ200" s="594">
        <v>94557</v>
      </c>
      <c r="AR200" s="594">
        <v>13749</v>
      </c>
      <c r="AS200" s="594">
        <v>0</v>
      </c>
      <c r="AT200" s="594">
        <v>7534</v>
      </c>
      <c r="AU200" s="581">
        <v>347280</v>
      </c>
      <c r="AV200" s="594">
        <v>94557</v>
      </c>
      <c r="AW200" s="594">
        <v>13749</v>
      </c>
      <c r="AX200" s="594">
        <v>0</v>
      </c>
      <c r="AY200" s="581">
        <v>108306</v>
      </c>
      <c r="AZ200" s="594">
        <v>4663</v>
      </c>
      <c r="BA200" s="594">
        <v>57762</v>
      </c>
      <c r="BB200" s="581">
        <v>62425</v>
      </c>
      <c r="BC200" s="597">
        <f>Table35[[#This Row],[Total Expenditure]]/Table35[[#This Row],[Number of pupils (FTE)]]</f>
        <v>30338.8125</v>
      </c>
      <c r="BD200" s="598">
        <f>Table35[[#This Row],[Total Staff Costs]]/Table35[[#This Row],[Number of pupils (FTE)]]</f>
        <v>22799.287499999999</v>
      </c>
      <c r="BE200" s="598">
        <f>Table35[[#This Row],[Teaching staff]]/Table35[[#This Row],[Number of teachers in academy (FTE)]]</f>
        <v>72003.333333333328</v>
      </c>
      <c r="BF200" s="614">
        <f>Table35[[#This Row],[Number of pupils (FTE)]]/Table35[[#This Row],[Number of teachers in academy (FTE)]]</f>
        <v>6.3492063492063497</v>
      </c>
      <c r="BG200" s="600">
        <f t="shared" si="30"/>
        <v>5606.8125</v>
      </c>
      <c r="BH200" s="598">
        <f>Table35[[#This Row],[Premises Costs]]/Table35[[#This Row],[Number of pupils (FTE)]]</f>
        <v>3251.9</v>
      </c>
      <c r="BI200" s="598">
        <f>Table35[[#This Row],[Maintenance &amp; Improvement Costs]]/Table35[[#This Row],[Number of pupils (FTE)]]</f>
        <v>180.46250000000001</v>
      </c>
      <c r="BJ200" s="598" t="e">
        <f>#REF!/E200</f>
        <v>#REF!</v>
      </c>
      <c r="BK200" s="598">
        <f t="shared" si="31"/>
        <v>55.3125</v>
      </c>
      <c r="BL200" s="598">
        <f t="shared" si="32"/>
        <v>0</v>
      </c>
      <c r="BM200" s="598">
        <f t="shared" si="33"/>
        <v>492.0625</v>
      </c>
      <c r="BN200" s="598">
        <f t="shared" si="34"/>
        <v>1181.9625000000001</v>
      </c>
      <c r="BO200" s="598">
        <f t="shared" si="35"/>
        <v>171.86250000000001</v>
      </c>
      <c r="BP200" s="598">
        <f t="shared" si="36"/>
        <v>94.174999999999997</v>
      </c>
      <c r="BQ200" s="598">
        <f t="shared" si="37"/>
        <v>4341</v>
      </c>
      <c r="BR200" s="598">
        <f t="shared" si="38"/>
        <v>1353.825</v>
      </c>
      <c r="BS200" s="598">
        <f t="shared" si="39"/>
        <v>780.3125</v>
      </c>
    </row>
    <row r="201" spans="1:71" x14ac:dyDescent="0.35">
      <c r="A201" s="580">
        <v>925</v>
      </c>
      <c r="B201" s="580" t="s">
        <v>489</v>
      </c>
      <c r="C201" s="593" t="s">
        <v>357</v>
      </c>
      <c r="D201" s="593" t="s">
        <v>754</v>
      </c>
      <c r="E201" s="580">
        <v>118</v>
      </c>
      <c r="F201" s="580">
        <v>19.600000000000001</v>
      </c>
      <c r="G201" s="580" t="s">
        <v>743</v>
      </c>
      <c r="H201" s="580">
        <v>56.8</v>
      </c>
      <c r="I201" s="580">
        <v>100</v>
      </c>
      <c r="J201" s="580">
        <v>0</v>
      </c>
      <c r="K201" s="580">
        <v>0</v>
      </c>
      <c r="L201" s="581">
        <v>3290708</v>
      </c>
      <c r="M201" s="581">
        <v>3360117</v>
      </c>
      <c r="N201" s="582">
        <f>Table35[[#This Row],[Total Income]]-Table35[[#This Row],[Total Expenditure]]</f>
        <v>-69409</v>
      </c>
      <c r="O201" s="581">
        <v>616867</v>
      </c>
      <c r="P201" s="594">
        <v>1326136</v>
      </c>
      <c r="Q201" s="594">
        <v>2905</v>
      </c>
      <c r="R201" s="594">
        <v>801417</v>
      </c>
      <c r="S201" s="594">
        <v>146249</v>
      </c>
      <c r="T201" s="594">
        <v>79759</v>
      </c>
      <c r="U201" s="594">
        <v>17078</v>
      </c>
      <c r="V201" s="594">
        <v>18341</v>
      </c>
      <c r="W201" s="594">
        <v>7911</v>
      </c>
      <c r="X201" s="594">
        <v>14498</v>
      </c>
      <c r="Y201" s="594">
        <v>117954</v>
      </c>
      <c r="Z201" s="581">
        <f>Table35[[#This Row],[Teaching staff]]+Table35[[#This Row],[Supply teaching]]+Table35[[#This Row],[Education support staff]]+Table35[[#This Row],[Administrative staff]]+Table35[[#This Row],[Other staff]]+Table35[[#This Row],[Agency]]+Table35[[#This Row],[Premises Staff]]+Table35[[#This Row],[Catering Staffing]]+Table35[[#This Row],[Bought in professional services - educational]]</f>
        <v>2571178</v>
      </c>
      <c r="AA201" s="595">
        <f>M201-Z201-Table35[[#This Row],[Maintenance &amp; Improvement]]-Table35[[#This Row],[Cleaning &amp; Caretaking]]-Table35[[#This Row],[Catering Supply]]</f>
        <v>627294</v>
      </c>
      <c r="AB201" s="581">
        <v>11233</v>
      </c>
      <c r="AC201" s="594">
        <v>11233</v>
      </c>
      <c r="AD201" s="594">
        <v>77359</v>
      </c>
      <c r="AE201" s="594">
        <v>22521</v>
      </c>
      <c r="AF201" s="594">
        <v>225007</v>
      </c>
      <c r="AG201" s="581">
        <v>336120</v>
      </c>
      <c r="AH201" s="581">
        <v>125377</v>
      </c>
      <c r="AI201" s="594">
        <v>52324</v>
      </c>
      <c r="AJ201" s="594">
        <v>73053</v>
      </c>
      <c r="AK201" s="594">
        <v>3711</v>
      </c>
      <c r="AL201" s="594">
        <v>0</v>
      </c>
      <c r="AM201" s="594">
        <v>58212</v>
      </c>
      <c r="AN201" s="594">
        <v>12281</v>
      </c>
      <c r="AO201" s="594">
        <v>19741</v>
      </c>
      <c r="AP201" s="581">
        <v>219322</v>
      </c>
      <c r="AQ201" s="594">
        <v>113898</v>
      </c>
      <c r="AR201" s="594">
        <v>25000</v>
      </c>
      <c r="AS201" s="594">
        <v>5437</v>
      </c>
      <c r="AT201" s="594">
        <v>11627</v>
      </c>
      <c r="AU201" s="581">
        <v>489979</v>
      </c>
      <c r="AV201" s="594">
        <v>113898</v>
      </c>
      <c r="AW201" s="594">
        <v>25000</v>
      </c>
      <c r="AX201" s="594">
        <v>5437</v>
      </c>
      <c r="AY201" s="581">
        <v>144335</v>
      </c>
      <c r="AZ201" s="594">
        <v>21913</v>
      </c>
      <c r="BA201" s="594">
        <v>87097</v>
      </c>
      <c r="BB201" s="581">
        <v>109010</v>
      </c>
      <c r="BC201" s="597">
        <f>Table35[[#This Row],[Total Expenditure]]/Table35[[#This Row],[Number of pupils (FTE)]]</f>
        <v>28475.567796610168</v>
      </c>
      <c r="BD201" s="598">
        <f>Table35[[#This Row],[Total Staff Costs]]/Table35[[#This Row],[Number of pupils (FTE)]]</f>
        <v>21789.644067796609</v>
      </c>
      <c r="BE201" s="598">
        <f>Table35[[#This Row],[Teaching staff]]/Table35[[#This Row],[Number of teachers in academy (FTE)]]</f>
        <v>67660</v>
      </c>
      <c r="BF201" s="614">
        <f>Table35[[#This Row],[Number of pupils (FTE)]]/Table35[[#This Row],[Number of teachers in academy (FTE)]]</f>
        <v>6.0204081632653059</v>
      </c>
      <c r="BG201" s="600">
        <f t="shared" si="30"/>
        <v>5316.0508474576272</v>
      </c>
      <c r="BH201" s="598">
        <f>Table35[[#This Row],[Premises Costs]]/Table35[[#This Row],[Number of pupils (FTE)]]</f>
        <v>2848.4745762711864</v>
      </c>
      <c r="BI201" s="598">
        <f>Table35[[#This Row],[Maintenance &amp; Improvement Costs]]/Table35[[#This Row],[Number of pupils (FTE)]]</f>
        <v>95.194915254237287</v>
      </c>
      <c r="BJ201" s="598" t="e">
        <f>#REF!/E201</f>
        <v>#REF!</v>
      </c>
      <c r="BK201" s="598">
        <f t="shared" si="31"/>
        <v>31.449152542372882</v>
      </c>
      <c r="BL201" s="598">
        <f t="shared" si="32"/>
        <v>0</v>
      </c>
      <c r="BM201" s="598">
        <f t="shared" si="33"/>
        <v>493.32203389830511</v>
      </c>
      <c r="BN201" s="598">
        <f t="shared" si="34"/>
        <v>965.23728813559319</v>
      </c>
      <c r="BO201" s="598">
        <f t="shared" si="35"/>
        <v>211.86440677966101</v>
      </c>
      <c r="BP201" s="598">
        <f t="shared" si="36"/>
        <v>98.533898305084747</v>
      </c>
      <c r="BQ201" s="598">
        <f t="shared" si="37"/>
        <v>4152.3644067796613</v>
      </c>
      <c r="BR201" s="598">
        <f t="shared" si="38"/>
        <v>1223.1779661016949</v>
      </c>
      <c r="BS201" s="598">
        <f t="shared" si="39"/>
        <v>923.81355932203394</v>
      </c>
    </row>
    <row r="202" spans="1:71" hidden="1" x14ac:dyDescent="0.35">
      <c r="C202" s="593"/>
      <c r="D202" s="593"/>
      <c r="N202" s="582">
        <f>Table35[[#This Row],[Total Income]]-Table35[[#This Row],[Total Expenditure]]</f>
        <v>0</v>
      </c>
      <c r="Z202" s="581"/>
      <c r="AA202" s="595">
        <f>M202-Z202-Table35[[#This Row],[Maintenance &amp; Improvement]]-Table35[[#This Row],[Cleaning &amp; Caretaking]]-Table35[[#This Row],[Catering Supply]]</f>
        <v>0</v>
      </c>
      <c r="AB202" s="581"/>
      <c r="AC202" s="594"/>
      <c r="AD202" s="594"/>
      <c r="AE202" s="594"/>
      <c r="AF202" s="594"/>
      <c r="AG202" s="581"/>
      <c r="AH202" s="581"/>
      <c r="AI202" s="594"/>
      <c r="AJ202" s="594"/>
      <c r="AK202" s="594"/>
      <c r="AL202" s="594"/>
      <c r="AM202" s="594"/>
      <c r="AN202" s="594"/>
      <c r="AO202" s="594"/>
      <c r="AP202" s="581"/>
      <c r="AQ202" s="594"/>
      <c r="AR202" s="594"/>
      <c r="AS202" s="594"/>
      <c r="AT202" s="594"/>
      <c r="AY202" s="581"/>
      <c r="AZ202" s="594"/>
      <c r="BA202" s="594"/>
      <c r="BB202" s="581"/>
      <c r="BC202" s="597" t="e">
        <f>Table35[[#This Row],[Total Expenditure]]/Table35[[#This Row],[Number of pupils (FTE)]]</f>
        <v>#DIV/0!</v>
      </c>
      <c r="BD202" s="598" t="e">
        <f>Table35[[#This Row],[Total Staff Costs]]/Table35[[#This Row],[Number of pupils (FTE)]]</f>
        <v>#DIV/0!</v>
      </c>
      <c r="BE202" s="598" t="e">
        <f>Table35[[#This Row],[Teaching staff]]/Table35[[#This Row],[Number of teachers in academy (FTE)]]</f>
        <v>#DIV/0!</v>
      </c>
      <c r="BF202" s="599" t="e">
        <f>Table35[[#This Row],[Number of pupils (FTE)]]/Table35[[#This Row],[Number of teachers in academy (FTE)]]</f>
        <v>#DIV/0!</v>
      </c>
      <c r="BG202" s="600" t="e">
        <f t="shared" si="30"/>
        <v>#DIV/0!</v>
      </c>
      <c r="BH202" s="598" t="e">
        <f>Table35[[#This Row],[Premises Costs]]/Table35[[#This Row],[Number of pupils (FTE)]]</f>
        <v>#DIV/0!</v>
      </c>
      <c r="BI202" s="598" t="e">
        <f>Table35[[#This Row],[Maintenance &amp; Improvement Costs]]/Table35[[#This Row],[Number of pupils (FTE)]]</f>
        <v>#DIV/0!</v>
      </c>
      <c r="BJ202" s="598" t="e">
        <f>#REF!/E202</f>
        <v>#REF!</v>
      </c>
      <c r="BK202" s="598" t="e">
        <f t="shared" si="31"/>
        <v>#DIV/0!</v>
      </c>
      <c r="BL202" s="598" t="e">
        <f t="shared" si="32"/>
        <v>#DIV/0!</v>
      </c>
      <c r="BM202" s="598" t="e">
        <f t="shared" si="33"/>
        <v>#DIV/0!</v>
      </c>
      <c r="BN202" s="598" t="e">
        <f t="shared" si="34"/>
        <v>#DIV/0!</v>
      </c>
      <c r="BO202" s="598" t="e">
        <f t="shared" si="35"/>
        <v>#DIV/0!</v>
      </c>
      <c r="BP202" s="598" t="e">
        <f t="shared" si="36"/>
        <v>#DIV/0!</v>
      </c>
      <c r="BQ202" s="598" t="e">
        <f t="shared" si="37"/>
        <v>#DIV/0!</v>
      </c>
      <c r="BR202" s="598" t="e">
        <f t="shared" si="38"/>
        <v>#DIV/0!</v>
      </c>
      <c r="BS202" s="598" t="e">
        <f t="shared" si="39"/>
        <v>#DIV/0!</v>
      </c>
    </row>
    <row r="203" spans="1:71" s="630" customFormat="1" x14ac:dyDescent="0.35">
      <c r="C203" s="631"/>
      <c r="D203" s="631"/>
      <c r="E203" s="632">
        <f>SUBTOTAL(101,Table35[Number of pupils (FTE)])</f>
        <v>137.47058823529412</v>
      </c>
      <c r="F203" s="633">
        <f>SUBTOTAL(101,Table35[Number of teachers in academy (FTE)])</f>
        <v>16.656470588235294</v>
      </c>
      <c r="H203" s="633">
        <f>SUBTOTAL(101,Table35[% of pupils eligible for FSM])</f>
        <v>54.04117647058824</v>
      </c>
      <c r="I203" s="633">
        <f>SUBTOTAL(101,Table35[% of pupils with EHCP])</f>
        <v>98.641176470588221</v>
      </c>
      <c r="J203" s="633">
        <f>SUBTOTAL(101,Table35[% of pupil with SEN support])</f>
        <v>1.3647058823529412</v>
      </c>
      <c r="K203" s="634">
        <f>SUBTOTAL(101,Table35[No of pupils in 6th form])</f>
        <v>8.5882352941176467</v>
      </c>
      <c r="L203" s="635">
        <f>SUBTOTAL(101,Table35[Total Income])</f>
        <v>3265331</v>
      </c>
      <c r="M203" s="635">
        <f>SUBTOTAL(101,Table35[Total Expenditure])</f>
        <v>3224598.1176470588</v>
      </c>
      <c r="N203" s="635">
        <f>SUBTOTAL(101,Table35[In-year Balance])</f>
        <v>40732.882352941175</v>
      </c>
      <c r="O203" s="635">
        <f>SUBTOTAL(101,Table35[Revenue Reserve])</f>
        <v>24069.647058823528</v>
      </c>
      <c r="P203" s="635"/>
      <c r="Q203" s="635"/>
      <c r="R203" s="635"/>
      <c r="S203" s="635"/>
      <c r="T203" s="635"/>
      <c r="U203" s="635"/>
      <c r="V203" s="635"/>
      <c r="W203" s="635"/>
      <c r="X203" s="635"/>
      <c r="Y203" s="635"/>
      <c r="Z203" s="635">
        <f>SUBTOTAL(101,Table35[Total Staff Costs])</f>
        <v>2749234.588235294</v>
      </c>
      <c r="AA203" s="636"/>
      <c r="AB203" s="635">
        <f>SUBTOTAL(101,Table35[Maintenance &amp; Improvement Costs])</f>
        <v>31842</v>
      </c>
      <c r="AC203" s="635"/>
      <c r="AD203" s="635"/>
      <c r="AE203" s="635"/>
      <c r="AF203" s="635"/>
      <c r="AG203" s="635">
        <f>SUBTOTAL(101,Table35[Premises Costs])</f>
        <v>151299.58823529413</v>
      </c>
      <c r="AH203" s="635">
        <f>SUBTOTAL(101,Table35[Catering Costs])</f>
        <v>90492.117647058825</v>
      </c>
      <c r="AI203" s="635"/>
      <c r="AJ203" s="635"/>
      <c r="AK203" s="635">
        <f>SUBTOTAL(101,Table35[Water/Sewage])</f>
        <v>5508.1764705882351</v>
      </c>
      <c r="AL203" s="635">
        <f>SUBTOTAL(101,Table35[Rent/Rates])</f>
        <v>42705.882352941175</v>
      </c>
      <c r="AM203" s="635">
        <f>SUBTOTAL(107,Table35[Energy])</f>
        <v>34064.817409242045</v>
      </c>
      <c r="AN203" s="635"/>
      <c r="AO203" s="635"/>
      <c r="AP203" s="635">
        <f>SUBTOTAL(101,Table35[Occupation Costs])</f>
        <v>221064.4705882353</v>
      </c>
      <c r="AQ203" s="635">
        <f>SUBTOTAL(101,Table35[Learning Resources (non IT)])</f>
        <v>79344.176470588238</v>
      </c>
      <c r="AR203" s="635">
        <f>SUBTOTAL(101,Table35[Learning Resources (IT)])</f>
        <v>19169</v>
      </c>
      <c r="AS203" s="635">
        <f>SUBTOTAL(101,Table35[Exam Fees])</f>
        <v>3207.294117647059</v>
      </c>
      <c r="AT203" s="635">
        <f>SUBTOTAL(107,Table35[Admin Supplies])</f>
        <v>44693.956634587768</v>
      </c>
      <c r="AU203" s="635">
        <f>SUBTOTAL(107,Table35[Supplies &amp; Services Costs])</f>
        <v>116642.97377741923</v>
      </c>
      <c r="AV203" s="635"/>
      <c r="AW203" s="635"/>
      <c r="AX203" s="635"/>
      <c r="AY203" s="635">
        <f>SUBTOTAL(101,Table35[Educational Supplies Costs])</f>
        <v>101720.29411764706</v>
      </c>
      <c r="AZ203" s="635"/>
      <c r="BA203" s="635"/>
      <c r="BB203" s="635">
        <f>SUBTOTAL(101,Table35[Professional services costs])</f>
        <v>44395.647058823532</v>
      </c>
      <c r="BC203" s="637">
        <f>AVERAGE(BC185:BC201)</f>
        <v>55983.757431074373</v>
      </c>
      <c r="BD203" s="637">
        <f>AVERAGE(BD185:BD201)</f>
        <v>47965.921354039601</v>
      </c>
      <c r="BE203" s="637">
        <f>AVERAGE(BE185:BE201)</f>
        <v>74696.434603847825</v>
      </c>
      <c r="BF203" s="638">
        <f>SUBTOTAL(101,Table35[Pupils per teacher])</f>
        <v>8.5815063146631463</v>
      </c>
      <c r="BG203" s="639"/>
      <c r="BH203" s="637">
        <f>AVERAGE(BH185:BH201)</f>
        <v>1951.5766318788937</v>
      </c>
      <c r="BI203" s="637">
        <f>SUBTOTAL(101,Table35[Maintenance per pupil])</f>
        <v>608.64761320464447</v>
      </c>
      <c r="BJ203" s="637" t="e">
        <f>SUBTOTAL(101,Table35[Catering supplies per pupil])</f>
        <v>#REF!</v>
      </c>
      <c r="BK203" s="637">
        <f>SUBTOTAL(101,Table35[Water/sewage per pupil])</f>
        <v>76.43713298121331</v>
      </c>
      <c r="BL203" s="637">
        <f>SUBTOTAL(101,Table35[Rent/rates per pupil])</f>
        <v>559.22620541639242</v>
      </c>
      <c r="BM203" s="637">
        <f>SUBTOTAL(101,Table35[Energy per pupil])</f>
        <v>843.1283948803507</v>
      </c>
      <c r="BN203" s="637">
        <f>SUBTOTAL(101,Table35[Learning resources (non IT) per pupil])</f>
        <v>980.44175326727373</v>
      </c>
      <c r="BO203" s="637">
        <f>SUBTOTAL(101,Table35[Learning resources (IT) per pupil])</f>
        <v>673.16282091917947</v>
      </c>
      <c r="BP203" s="637">
        <f>SUBTOTAL(101,Table35[Admin supplies per pupil])</f>
        <v>448.31783196646558</v>
      </c>
      <c r="BQ203" s="637">
        <f>SUBTOTAL(101,Table35[Supplies &amp; Services per pupil])</f>
        <v>3034.6082627942628</v>
      </c>
      <c r="BR203" s="637">
        <f>SUBTOTAL(101,Table35[Educational supplies per pupil])</f>
        <v>1766.5661386183997</v>
      </c>
      <c r="BS203" s="637">
        <f>SUBTOTAL(101,Table35[Professional services per pupil])</f>
        <v>583.28155791228846</v>
      </c>
    </row>
    <row r="204" spans="1:71" x14ac:dyDescent="0.35">
      <c r="L204" s="628"/>
      <c r="M204" s="628"/>
      <c r="O204" s="628"/>
      <c r="BC204" s="598">
        <f>AVERAGE(BC185:BC196,BC198:BC201)</f>
        <v>23466.429770516526</v>
      </c>
      <c r="BD204" s="598">
        <f>AVERAGE(BD185:BD196,BD198:BD201)</f>
        <v>19519.753938667076</v>
      </c>
      <c r="BE204" s="598"/>
      <c r="BF204" s="640">
        <f>AVERAGE(BF185:BF196,BF198:BF201)</f>
        <v>9.0975582515373858</v>
      </c>
      <c r="BH204" s="598">
        <f>AVERAGE(BH185:BH196,BH198:BH201)</f>
        <v>1179.4626713713246</v>
      </c>
      <c r="BI204" s="598">
        <f>AVERAGE(BI185:BI196,BI198:BI201)</f>
        <v>255.96308902993488</v>
      </c>
      <c r="BJ204" s="598" t="e">
        <f>AVERAGE(BJ185:BJ196,BJ198:BJ201)</f>
        <v>#REF!</v>
      </c>
      <c r="BK204" s="598">
        <f>AVERAGE(BK185:BK196,BK198:BK201)</f>
        <v>36.101953792539149</v>
      </c>
      <c r="BL204" s="598">
        <f>AVERAGE(BL194,BL193,BL186,BL185)</f>
        <v>2376.7113730196679</v>
      </c>
      <c r="BM204" s="598">
        <f t="shared" ref="BM204:BS204" si="40">AVERAGE(BM185:BM196,BM198:BM201)</f>
        <v>458.37391956037254</v>
      </c>
      <c r="BN204" s="598">
        <f t="shared" si="40"/>
        <v>678.01936284647832</v>
      </c>
      <c r="BO204" s="598">
        <f t="shared" si="40"/>
        <v>112.11049722662827</v>
      </c>
      <c r="BP204" s="598">
        <f t="shared" si="40"/>
        <v>328.28769646436967</v>
      </c>
      <c r="BQ204" s="598">
        <f t="shared" si="40"/>
        <v>1763.933779218904</v>
      </c>
      <c r="BR204" s="598">
        <f t="shared" si="40"/>
        <v>815.37652228204968</v>
      </c>
      <c r="BS204" s="598">
        <f t="shared" si="40"/>
        <v>369.04915528180658</v>
      </c>
    </row>
    <row r="205" spans="1:71" s="652" customFormat="1" x14ac:dyDescent="0.35">
      <c r="L205" s="654"/>
      <c r="M205" s="654"/>
      <c r="O205" s="654"/>
      <c r="P205" s="655"/>
      <c r="Q205" s="655"/>
      <c r="R205" s="655"/>
      <c r="S205" s="655"/>
      <c r="T205" s="655"/>
      <c r="U205" s="655"/>
      <c r="V205" s="655"/>
      <c r="W205" s="655"/>
      <c r="X205" s="655"/>
      <c r="Y205" s="655"/>
      <c r="AA205" s="656"/>
      <c r="AC205" s="657"/>
      <c r="AD205" s="657"/>
      <c r="AE205" s="657"/>
      <c r="AF205" s="657"/>
      <c r="AI205" s="657"/>
      <c r="AJ205" s="657"/>
      <c r="AK205" s="657"/>
      <c r="AL205" s="657"/>
      <c r="AM205" s="657"/>
      <c r="AN205" s="657"/>
      <c r="AO205" s="657"/>
      <c r="AQ205" s="657"/>
      <c r="AR205" s="657"/>
      <c r="AS205" s="657"/>
      <c r="AT205" s="657"/>
      <c r="AU205" s="654"/>
      <c r="AV205" s="655"/>
      <c r="AW205" s="655"/>
      <c r="AX205" s="655"/>
      <c r="AZ205" s="657"/>
      <c r="BA205" s="657"/>
      <c r="BC205" s="658"/>
      <c r="BD205" s="658"/>
      <c r="BE205" s="658"/>
      <c r="BF205" s="658"/>
      <c r="BG205" s="659"/>
      <c r="BH205" s="658"/>
      <c r="BJ205" s="658"/>
      <c r="BK205" s="658"/>
      <c r="BL205" s="658"/>
      <c r="BM205" s="658"/>
    </row>
    <row r="206" spans="1:71" s="652" customFormat="1" x14ac:dyDescent="0.35">
      <c r="D206" s="652" t="s">
        <v>776</v>
      </c>
      <c r="L206" s="654"/>
      <c r="M206" s="654"/>
      <c r="O206" s="654"/>
      <c r="P206" s="655"/>
      <c r="Q206" s="655"/>
      <c r="R206" s="655"/>
      <c r="S206" s="655"/>
      <c r="T206" s="655"/>
      <c r="U206" s="655"/>
      <c r="V206" s="655"/>
      <c r="W206" s="655"/>
      <c r="X206" s="655"/>
      <c r="Y206" s="655"/>
      <c r="AA206" s="656"/>
      <c r="AC206" s="657"/>
      <c r="AD206" s="657"/>
      <c r="AE206" s="657"/>
      <c r="AF206" s="657"/>
      <c r="AI206" s="657"/>
      <c r="AJ206" s="657"/>
      <c r="AK206" s="657"/>
      <c r="AL206" s="657"/>
      <c r="AM206" s="657"/>
      <c r="AN206" s="657"/>
      <c r="AO206" s="657"/>
      <c r="AQ206" s="657"/>
      <c r="AR206" s="657"/>
      <c r="AS206" s="657"/>
      <c r="AT206" s="657"/>
      <c r="AU206" s="654"/>
      <c r="AV206" s="655"/>
      <c r="AW206" s="655"/>
      <c r="AX206" s="655"/>
      <c r="AZ206" s="657"/>
      <c r="BA206" s="657"/>
      <c r="BC206" s="658"/>
      <c r="BD206" s="658"/>
      <c r="BE206" s="658"/>
      <c r="BF206" s="658"/>
      <c r="BG206" s="659"/>
      <c r="BH206" s="658"/>
      <c r="BJ206" s="658"/>
      <c r="BK206" s="658"/>
      <c r="BL206" s="658"/>
      <c r="BM206" s="658"/>
    </row>
    <row r="207" spans="1:71" s="652" customFormat="1" x14ac:dyDescent="0.35">
      <c r="C207" s="652" t="s">
        <v>198</v>
      </c>
      <c r="D207" s="653">
        <f>AA185/E185</f>
        <v>1000</v>
      </c>
      <c r="L207" s="654"/>
      <c r="M207" s="654"/>
      <c r="O207" s="654"/>
      <c r="P207" s="655"/>
      <c r="Q207" s="655"/>
      <c r="R207" s="655"/>
      <c r="S207" s="655"/>
      <c r="T207" s="655"/>
      <c r="U207" s="655"/>
      <c r="V207" s="655"/>
      <c r="W207" s="655"/>
      <c r="X207" s="655"/>
      <c r="Y207" s="655"/>
      <c r="AA207" s="656"/>
      <c r="AC207" s="657"/>
      <c r="AD207" s="657"/>
      <c r="AE207" s="657"/>
      <c r="AF207" s="657"/>
      <c r="AI207" s="657"/>
      <c r="AJ207" s="657"/>
      <c r="AK207" s="657"/>
      <c r="AL207" s="657"/>
      <c r="AM207" s="657"/>
      <c r="AN207" s="657"/>
      <c r="AO207" s="657"/>
      <c r="AQ207" s="657"/>
      <c r="AR207" s="657"/>
      <c r="AS207" s="657"/>
      <c r="AT207" s="657"/>
      <c r="AU207" s="654"/>
      <c r="AV207" s="655"/>
      <c r="AW207" s="655"/>
      <c r="AX207" s="655"/>
      <c r="AZ207" s="657"/>
      <c r="BA207" s="657"/>
      <c r="BC207" s="658"/>
      <c r="BD207" s="658"/>
      <c r="BE207" s="658"/>
      <c r="BF207" s="658"/>
      <c r="BG207" s="659"/>
      <c r="BH207" s="658" t="s">
        <v>757</v>
      </c>
      <c r="BJ207" s="658"/>
      <c r="BK207" s="658"/>
      <c r="BL207" s="658"/>
      <c r="BM207" s="658"/>
    </row>
    <row r="208" spans="1:71" s="652" customFormat="1" x14ac:dyDescent="0.35">
      <c r="C208" s="652" t="s">
        <v>774</v>
      </c>
      <c r="D208" s="653">
        <f>AA188/E188</f>
        <v>1158.9403973509934</v>
      </c>
      <c r="E208" s="930" t="s">
        <v>790</v>
      </c>
      <c r="F208" s="930"/>
      <c r="G208" s="930"/>
      <c r="H208" s="930"/>
      <c r="L208" s="654"/>
      <c r="M208" s="654"/>
      <c r="O208" s="654"/>
      <c r="P208" s="655"/>
      <c r="Q208" s="655"/>
      <c r="R208" s="655"/>
      <c r="S208" s="655"/>
      <c r="T208" s="655"/>
      <c r="U208" s="655"/>
      <c r="V208" s="655"/>
      <c r="W208" s="655"/>
      <c r="X208" s="655"/>
      <c r="Y208" s="655"/>
      <c r="AA208" s="656"/>
      <c r="AC208" s="657"/>
      <c r="AD208" s="657"/>
      <c r="AE208" s="657"/>
      <c r="AF208" s="657"/>
      <c r="AI208" s="657"/>
      <c r="AJ208" s="657"/>
      <c r="AK208" s="657"/>
      <c r="AL208" s="657"/>
      <c r="AM208" s="657"/>
      <c r="AN208" s="657"/>
      <c r="AO208" s="657"/>
      <c r="AQ208" s="657"/>
      <c r="AR208" s="657"/>
      <c r="AS208" s="657"/>
      <c r="AT208" s="657"/>
      <c r="AU208" s="654"/>
      <c r="AV208" s="655"/>
      <c r="AW208" s="655"/>
      <c r="AX208" s="655"/>
      <c r="AZ208" s="657"/>
      <c r="BA208" s="657"/>
      <c r="BC208" s="658"/>
      <c r="BD208" s="658"/>
      <c r="BE208" s="658"/>
      <c r="BF208" s="658"/>
      <c r="BG208" s="659"/>
      <c r="BH208" s="658"/>
      <c r="BJ208" s="658"/>
      <c r="BK208" s="658"/>
      <c r="BL208" s="658"/>
      <c r="BM208" s="658"/>
    </row>
    <row r="209" spans="1:65" s="652" customFormat="1" x14ac:dyDescent="0.35">
      <c r="C209" s="652" t="s">
        <v>197</v>
      </c>
      <c r="D209" s="653">
        <f>AA196/E196</f>
        <v>1126.7605633802816</v>
      </c>
      <c r="E209" s="930"/>
      <c r="F209" s="930"/>
      <c r="G209" s="930"/>
      <c r="H209" s="930"/>
      <c r="L209" s="654"/>
      <c r="M209" s="654"/>
      <c r="O209" s="654"/>
      <c r="P209" s="655"/>
      <c r="Q209" s="655"/>
      <c r="R209" s="655"/>
      <c r="S209" s="655"/>
      <c r="T209" s="655"/>
      <c r="U209" s="655"/>
      <c r="V209" s="655"/>
      <c r="W209" s="655"/>
      <c r="X209" s="655"/>
      <c r="Y209" s="655"/>
      <c r="AA209" s="656"/>
      <c r="AC209" s="657"/>
      <c r="AD209" s="657"/>
      <c r="AE209" s="657"/>
      <c r="AF209" s="657"/>
      <c r="AI209" s="657"/>
      <c r="AJ209" s="657"/>
      <c r="AK209" s="657"/>
      <c r="AL209" s="657"/>
      <c r="AM209" s="657"/>
      <c r="AN209" s="657"/>
      <c r="AO209" s="657"/>
      <c r="AQ209" s="657"/>
      <c r="AR209" s="657"/>
      <c r="AS209" s="657"/>
      <c r="AT209" s="657"/>
      <c r="AU209" s="654"/>
      <c r="AV209" s="655"/>
      <c r="AW209" s="655"/>
      <c r="AX209" s="655"/>
      <c r="AZ209" s="657"/>
      <c r="BA209" s="657"/>
      <c r="BC209" s="658"/>
      <c r="BD209" s="658"/>
      <c r="BE209" s="658"/>
      <c r="BF209" s="658"/>
      <c r="BG209" s="659"/>
      <c r="BH209" s="658"/>
      <c r="BJ209" s="658"/>
      <c r="BK209" s="658"/>
      <c r="BL209" s="658"/>
      <c r="BM209" s="658"/>
    </row>
    <row r="210" spans="1:65" s="652" customFormat="1" x14ac:dyDescent="0.35">
      <c r="C210" s="652" t="s">
        <v>199</v>
      </c>
      <c r="D210" s="653">
        <f>AA187/E187</f>
        <v>1275.7009345794393</v>
      </c>
      <c r="L210" s="654"/>
      <c r="M210" s="654"/>
      <c r="O210" s="654"/>
      <c r="P210" s="655"/>
      <c r="Q210" s="655"/>
      <c r="R210" s="655"/>
      <c r="S210" s="655"/>
      <c r="T210" s="655"/>
      <c r="U210" s="655"/>
      <c r="V210" s="655"/>
      <c r="W210" s="655"/>
      <c r="X210" s="655"/>
      <c r="Y210" s="655"/>
      <c r="AA210" s="656"/>
      <c r="AC210" s="657"/>
      <c r="AD210" s="657"/>
      <c r="AE210" s="657"/>
      <c r="AF210" s="657"/>
      <c r="AI210" s="657"/>
      <c r="AJ210" s="657"/>
      <c r="AK210" s="657"/>
      <c r="AL210" s="657"/>
      <c r="AM210" s="657"/>
      <c r="AN210" s="657"/>
      <c r="AO210" s="657"/>
      <c r="AQ210" s="657"/>
      <c r="AR210" s="657"/>
      <c r="AS210" s="657"/>
      <c r="AT210" s="657"/>
      <c r="AU210" s="654"/>
      <c r="AV210" s="655"/>
      <c r="AW210" s="655"/>
      <c r="AX210" s="655"/>
      <c r="AZ210" s="657"/>
      <c r="BA210" s="657"/>
      <c r="BC210" s="658"/>
      <c r="BD210" s="658"/>
      <c r="BE210" s="658"/>
      <c r="BF210" s="658"/>
      <c r="BG210" s="659"/>
      <c r="BH210" s="658"/>
      <c r="BJ210" s="658"/>
      <c r="BK210" s="658"/>
      <c r="BL210" s="658"/>
      <c r="BM210" s="658"/>
    </row>
    <row r="211" spans="1:65" s="652" customFormat="1" x14ac:dyDescent="0.35">
      <c r="C211" s="652" t="s">
        <v>775</v>
      </c>
      <c r="D211" s="653">
        <f>AA192/E192</f>
        <v>1357.1428571428571</v>
      </c>
      <c r="E211" s="652" t="s">
        <v>782</v>
      </c>
      <c r="L211" s="654"/>
      <c r="M211" s="654"/>
      <c r="O211" s="654"/>
      <c r="P211" s="655"/>
      <c r="Q211" s="655"/>
      <c r="R211" s="655"/>
      <c r="S211" s="655"/>
      <c r="T211" s="655"/>
      <c r="U211" s="655"/>
      <c r="V211" s="655"/>
      <c r="W211" s="655"/>
      <c r="X211" s="655"/>
      <c r="Y211" s="655"/>
      <c r="AA211" s="656"/>
      <c r="AC211" s="657"/>
      <c r="AD211" s="657"/>
      <c r="AE211" s="657"/>
      <c r="AF211" s="657"/>
      <c r="AI211" s="657"/>
      <c r="AJ211" s="657"/>
      <c r="AK211" s="657"/>
      <c r="AL211" s="657"/>
      <c r="AM211" s="657"/>
      <c r="AN211" s="657"/>
      <c r="AO211" s="657"/>
      <c r="AQ211" s="657"/>
      <c r="AR211" s="657"/>
      <c r="AS211" s="657"/>
      <c r="AT211" s="657"/>
      <c r="AU211" s="654"/>
      <c r="AV211" s="655"/>
      <c r="AW211" s="655"/>
      <c r="AX211" s="655"/>
      <c r="AZ211" s="657"/>
      <c r="BA211" s="657"/>
      <c r="BC211" s="658"/>
      <c r="BD211" s="658"/>
      <c r="BE211" s="658"/>
      <c r="BF211" s="658"/>
      <c r="BG211" s="659"/>
      <c r="BH211" s="658"/>
      <c r="BJ211" s="658"/>
      <c r="BK211" s="658"/>
      <c r="BL211" s="658"/>
      <c r="BM211" s="658"/>
    </row>
    <row r="212" spans="1:65" s="652" customFormat="1" x14ac:dyDescent="0.35">
      <c r="L212" s="654"/>
      <c r="M212" s="654"/>
      <c r="O212" s="654"/>
      <c r="P212" s="655"/>
      <c r="Q212" s="655"/>
      <c r="R212" s="655"/>
      <c r="S212" s="655"/>
      <c r="T212" s="655"/>
      <c r="U212" s="655"/>
      <c r="V212" s="655"/>
      <c r="W212" s="655"/>
      <c r="X212" s="655"/>
      <c r="Y212" s="655"/>
      <c r="AA212" s="656"/>
      <c r="AC212" s="657"/>
      <c r="AD212" s="657"/>
      <c r="AE212" s="657"/>
      <c r="AF212" s="657"/>
      <c r="AI212" s="657"/>
      <c r="AJ212" s="657"/>
      <c r="AK212" s="657"/>
      <c r="AL212" s="657"/>
      <c r="AM212" s="657"/>
      <c r="AN212" s="657"/>
      <c r="AO212" s="657"/>
      <c r="AQ212" s="657"/>
      <c r="AR212" s="657"/>
      <c r="AS212" s="657"/>
      <c r="AT212" s="657"/>
      <c r="AU212" s="654"/>
      <c r="AV212" s="655"/>
      <c r="AW212" s="655"/>
      <c r="AX212" s="655"/>
      <c r="AZ212" s="657"/>
      <c r="BA212" s="657"/>
      <c r="BC212" s="658"/>
      <c r="BD212" s="658"/>
      <c r="BE212" s="658"/>
      <c r="BF212" s="658"/>
      <c r="BG212" s="659"/>
      <c r="BH212" s="658"/>
      <c r="BJ212" s="658"/>
      <c r="BK212" s="658"/>
      <c r="BL212" s="658"/>
      <c r="BM212" s="658"/>
    </row>
    <row r="213" spans="1:65" s="652" customFormat="1" x14ac:dyDescent="0.35">
      <c r="L213" s="654"/>
      <c r="M213" s="654"/>
      <c r="O213" s="654"/>
      <c r="P213" s="655"/>
      <c r="Q213" s="655"/>
      <c r="R213" s="655"/>
      <c r="S213" s="655"/>
      <c r="T213" s="655"/>
      <c r="U213" s="655"/>
      <c r="V213" s="655"/>
      <c r="W213" s="655"/>
      <c r="X213" s="655"/>
      <c r="Y213" s="655"/>
      <c r="AA213" s="656"/>
      <c r="AC213" s="657"/>
      <c r="AD213" s="657"/>
      <c r="AE213" s="657"/>
      <c r="AF213" s="657"/>
      <c r="AI213" s="657"/>
      <c r="AJ213" s="657"/>
      <c r="AK213" s="657"/>
      <c r="AL213" s="657"/>
      <c r="AM213" s="657"/>
      <c r="AN213" s="657"/>
      <c r="AO213" s="657"/>
      <c r="AQ213" s="657"/>
      <c r="AR213" s="657"/>
      <c r="AS213" s="657"/>
      <c r="AT213" s="657"/>
      <c r="AU213" s="654"/>
      <c r="AV213" s="655"/>
      <c r="AW213" s="655"/>
      <c r="AX213" s="655"/>
      <c r="AZ213" s="657"/>
      <c r="BA213" s="657"/>
      <c r="BC213" s="658"/>
      <c r="BD213" s="658"/>
      <c r="BE213" s="658"/>
      <c r="BF213" s="658"/>
      <c r="BG213" s="659"/>
      <c r="BH213" s="658"/>
      <c r="BJ213" s="658"/>
      <c r="BK213" s="658"/>
      <c r="BL213" s="658"/>
      <c r="BM213" s="658"/>
    </row>
    <row r="214" spans="1:65" s="652" customFormat="1" x14ac:dyDescent="0.35">
      <c r="C214" s="652" t="s">
        <v>783</v>
      </c>
      <c r="D214" s="662">
        <v>1200</v>
      </c>
      <c r="L214" s="654"/>
      <c r="M214" s="654"/>
      <c r="O214" s="654"/>
      <c r="P214" s="655"/>
      <c r="Q214" s="655"/>
      <c r="R214" s="655"/>
      <c r="S214" s="655"/>
      <c r="T214" s="655"/>
      <c r="U214" s="655"/>
      <c r="V214" s="655"/>
      <c r="W214" s="655"/>
      <c r="X214" s="655"/>
      <c r="Y214" s="655"/>
      <c r="AA214" s="656"/>
      <c r="AC214" s="657"/>
      <c r="AD214" s="657"/>
      <c r="AE214" s="657"/>
      <c r="AF214" s="657"/>
      <c r="AI214" s="657"/>
      <c r="AJ214" s="657"/>
      <c r="AK214" s="657"/>
      <c r="AL214" s="657"/>
      <c r="AM214" s="657"/>
      <c r="AN214" s="657"/>
      <c r="AO214" s="657"/>
      <c r="AQ214" s="657"/>
      <c r="AR214" s="657"/>
      <c r="AS214" s="657"/>
      <c r="AT214" s="657"/>
      <c r="AU214" s="654"/>
      <c r="AV214" s="655"/>
      <c r="AW214" s="655"/>
      <c r="AX214" s="655"/>
      <c r="AZ214" s="657"/>
      <c r="BA214" s="657"/>
      <c r="BC214" s="658"/>
      <c r="BD214" s="658"/>
      <c r="BE214" s="658"/>
      <c r="BF214" s="658"/>
      <c r="BG214" s="659"/>
      <c r="BH214" s="658"/>
      <c r="BJ214" s="658"/>
      <c r="BK214" s="658"/>
      <c r="BL214" s="658"/>
      <c r="BM214" s="658"/>
    </row>
    <row r="215" spans="1:65" s="652" customFormat="1" x14ac:dyDescent="0.35">
      <c r="C215" s="652" t="s">
        <v>761</v>
      </c>
      <c r="D215" s="663">
        <f>E215/150</f>
        <v>100</v>
      </c>
      <c r="E215" s="661">
        <v>15000</v>
      </c>
      <c r="L215" s="654"/>
      <c r="M215" s="654"/>
      <c r="O215" s="654"/>
      <c r="P215" s="655"/>
      <c r="Q215" s="655"/>
      <c r="R215" s="655"/>
      <c r="S215" s="655"/>
      <c r="T215" s="655"/>
      <c r="U215" s="655"/>
      <c r="V215" s="655"/>
      <c r="W215" s="655"/>
      <c r="X215" s="655"/>
      <c r="Y215" s="655"/>
      <c r="AA215" s="656"/>
      <c r="AC215" s="657"/>
      <c r="AD215" s="657"/>
      <c r="AE215" s="657"/>
      <c r="AF215" s="657"/>
      <c r="AI215" s="657"/>
      <c r="AJ215" s="657"/>
      <c r="AK215" s="657"/>
      <c r="AL215" s="657"/>
      <c r="AM215" s="657"/>
      <c r="AN215" s="657"/>
      <c r="AO215" s="657"/>
      <c r="AQ215" s="657"/>
      <c r="AR215" s="657"/>
      <c r="AS215" s="657"/>
      <c r="AT215" s="657"/>
      <c r="AU215" s="654"/>
      <c r="AV215" s="655"/>
      <c r="AW215" s="655"/>
      <c r="AX215" s="655"/>
      <c r="AZ215" s="657"/>
      <c r="BA215" s="657"/>
      <c r="BC215" s="658"/>
      <c r="BD215" s="658"/>
      <c r="BE215" s="658"/>
      <c r="BF215" s="658"/>
      <c r="BG215" s="659"/>
      <c r="BH215" s="658"/>
      <c r="BJ215" s="658"/>
      <c r="BK215" s="658"/>
      <c r="BL215" s="658"/>
      <c r="BM215" s="658"/>
    </row>
    <row r="216" spans="1:65" s="652" customFormat="1" x14ac:dyDescent="0.35">
      <c r="C216" s="652" t="s">
        <v>784</v>
      </c>
      <c r="D216" s="663">
        <f>E216/150</f>
        <v>33.333333333333336</v>
      </c>
      <c r="E216" s="661">
        <v>5000</v>
      </c>
      <c r="L216" s="654"/>
      <c r="M216" s="654"/>
      <c r="O216" s="654"/>
      <c r="P216" s="655"/>
      <c r="Q216" s="655"/>
      <c r="R216" s="655"/>
      <c r="S216" s="655"/>
      <c r="T216" s="655"/>
      <c r="U216" s="655"/>
      <c r="V216" s="655"/>
      <c r="W216" s="655"/>
      <c r="X216" s="655"/>
      <c r="Y216" s="655"/>
      <c r="AA216" s="656"/>
      <c r="AC216" s="657"/>
      <c r="AD216" s="657"/>
      <c r="AE216" s="657"/>
      <c r="AF216" s="657"/>
      <c r="AI216" s="657"/>
      <c r="AJ216" s="657"/>
      <c r="AK216" s="657"/>
      <c r="AL216" s="657"/>
      <c r="AM216" s="657"/>
      <c r="AN216" s="657"/>
      <c r="AO216" s="657"/>
      <c r="AQ216" s="657"/>
      <c r="AR216" s="657"/>
      <c r="AS216" s="657"/>
      <c r="AT216" s="657"/>
      <c r="AU216" s="654"/>
      <c r="AV216" s="655"/>
      <c r="AW216" s="655"/>
      <c r="AX216" s="655"/>
      <c r="AZ216" s="657"/>
      <c r="BA216" s="657"/>
      <c r="BC216" s="658"/>
      <c r="BD216" s="658"/>
      <c r="BE216" s="658"/>
      <c r="BF216" s="658"/>
      <c r="BG216" s="659"/>
      <c r="BH216" s="658"/>
      <c r="BJ216" s="658"/>
      <c r="BK216" s="658"/>
      <c r="BL216" s="658"/>
      <c r="BM216" s="658"/>
    </row>
    <row r="217" spans="1:65" s="652" customFormat="1" ht="15" thickBot="1" x14ac:dyDescent="0.4">
      <c r="D217" s="664">
        <f>SUM(D214:D216)</f>
        <v>1333.3333333333333</v>
      </c>
      <c r="E217" s="661"/>
      <c r="L217" s="654"/>
      <c r="M217" s="654"/>
      <c r="O217" s="654"/>
      <c r="P217" s="655"/>
      <c r="Q217" s="655"/>
      <c r="R217" s="655"/>
      <c r="S217" s="655"/>
      <c r="T217" s="655"/>
      <c r="U217" s="655"/>
      <c r="V217" s="655"/>
      <c r="W217" s="655"/>
      <c r="X217" s="655"/>
      <c r="Y217" s="655"/>
      <c r="AA217" s="656"/>
      <c r="AC217" s="657"/>
      <c r="AD217" s="657"/>
      <c r="AE217" s="657"/>
      <c r="AF217" s="657"/>
      <c r="AI217" s="657"/>
      <c r="AJ217" s="657"/>
      <c r="AK217" s="657"/>
      <c r="AL217" s="657"/>
      <c r="AM217" s="657"/>
      <c r="AN217" s="657"/>
      <c r="AO217" s="657"/>
      <c r="AQ217" s="657"/>
      <c r="AR217" s="657"/>
      <c r="AS217" s="657"/>
      <c r="AT217" s="657"/>
      <c r="AU217" s="654"/>
      <c r="AV217" s="655"/>
      <c r="AW217" s="655"/>
      <c r="AX217" s="655"/>
      <c r="AZ217" s="657"/>
      <c r="BA217" s="657"/>
      <c r="BC217" s="658"/>
      <c r="BD217" s="658"/>
      <c r="BE217" s="658"/>
      <c r="BF217" s="658"/>
      <c r="BG217" s="659"/>
      <c r="BH217" s="658"/>
      <c r="BJ217" s="658"/>
      <c r="BK217" s="658"/>
      <c r="BL217" s="658"/>
      <c r="BM217" s="658"/>
    </row>
    <row r="218" spans="1:65" s="652" customFormat="1" x14ac:dyDescent="0.35">
      <c r="A218" s="660" t="s">
        <v>172</v>
      </c>
      <c r="L218" s="654"/>
      <c r="M218" s="654"/>
      <c r="O218" s="654"/>
      <c r="P218" s="655"/>
      <c r="Q218" s="655"/>
      <c r="R218" s="655"/>
      <c r="S218" s="655"/>
      <c r="T218" s="655"/>
      <c r="U218" s="655"/>
      <c r="V218" s="655"/>
      <c r="W218" s="655"/>
      <c r="X218" s="655"/>
      <c r="Y218" s="655"/>
      <c r="AA218" s="656"/>
      <c r="AC218" s="657"/>
      <c r="AD218" s="657"/>
      <c r="AE218" s="657"/>
      <c r="AF218" s="657"/>
      <c r="AI218" s="657"/>
      <c r="AJ218" s="657"/>
      <c r="AK218" s="657"/>
      <c r="AL218" s="657"/>
      <c r="AM218" s="657"/>
      <c r="AN218" s="657"/>
      <c r="AO218" s="657"/>
      <c r="AQ218" s="657"/>
      <c r="AR218" s="657"/>
      <c r="AS218" s="657"/>
      <c r="AT218" s="657"/>
      <c r="AU218" s="654"/>
      <c r="AV218" s="655"/>
      <c r="AW218" s="655"/>
      <c r="AX218" s="655"/>
      <c r="AZ218" s="657"/>
      <c r="BA218" s="657"/>
      <c r="BC218" s="658"/>
      <c r="BD218" s="658"/>
      <c r="BE218" s="658"/>
      <c r="BF218" s="658"/>
      <c r="BG218" s="659"/>
      <c r="BH218" s="658"/>
      <c r="BJ218" s="658"/>
      <c r="BK218" s="658"/>
      <c r="BL218" s="658"/>
      <c r="BM218" s="658"/>
    </row>
    <row r="219" spans="1:65" s="652" customFormat="1" x14ac:dyDescent="0.35">
      <c r="A219" s="652" t="s">
        <v>787</v>
      </c>
      <c r="L219" s="654"/>
      <c r="M219" s="654"/>
      <c r="O219" s="654"/>
      <c r="P219" s="655"/>
      <c r="Q219" s="655"/>
      <c r="R219" s="655"/>
      <c r="S219" s="655"/>
      <c r="T219" s="655"/>
      <c r="U219" s="655"/>
      <c r="V219" s="655"/>
      <c r="W219" s="655"/>
      <c r="X219" s="655"/>
      <c r="Y219" s="655"/>
      <c r="AA219" s="656"/>
      <c r="AC219" s="657"/>
      <c r="AD219" s="657"/>
      <c r="AE219" s="657"/>
      <c r="AF219" s="657"/>
      <c r="AI219" s="657"/>
      <c r="AJ219" s="657"/>
      <c r="AK219" s="657"/>
      <c r="AL219" s="657"/>
      <c r="AM219" s="657"/>
      <c r="AN219" s="657"/>
      <c r="AO219" s="657"/>
      <c r="AQ219" s="657"/>
      <c r="AR219" s="657"/>
      <c r="AS219" s="657"/>
      <c r="AT219" s="657"/>
      <c r="AU219" s="654"/>
      <c r="AV219" s="655"/>
      <c r="AW219" s="655"/>
      <c r="AX219" s="655"/>
      <c r="AZ219" s="657"/>
      <c r="BA219" s="657"/>
      <c r="BC219" s="658"/>
      <c r="BD219" s="658"/>
      <c r="BE219" s="658"/>
      <c r="BF219" s="658"/>
      <c r="BG219" s="659"/>
      <c r="BH219" s="658"/>
      <c r="BJ219" s="658"/>
      <c r="BK219" s="658"/>
      <c r="BL219" s="658"/>
      <c r="BM219" s="658"/>
    </row>
    <row r="220" spans="1:65" s="652" customFormat="1" x14ac:dyDescent="0.35">
      <c r="A220" s="652" t="s">
        <v>777</v>
      </c>
      <c r="L220" s="654"/>
      <c r="M220" s="654"/>
      <c r="O220" s="654"/>
      <c r="P220" s="655"/>
      <c r="Q220" s="655"/>
      <c r="R220" s="655"/>
      <c r="S220" s="655"/>
      <c r="T220" s="655"/>
      <c r="U220" s="655"/>
      <c r="V220" s="655"/>
      <c r="W220" s="655"/>
      <c r="X220" s="655"/>
      <c r="Y220" s="655"/>
      <c r="AA220" s="656"/>
      <c r="AC220" s="657"/>
      <c r="AD220" s="657"/>
      <c r="AE220" s="657"/>
      <c r="AF220" s="657"/>
      <c r="AI220" s="657"/>
      <c r="AJ220" s="657"/>
      <c r="AK220" s="657"/>
      <c r="AL220" s="657"/>
      <c r="AM220" s="657"/>
      <c r="AN220" s="657"/>
      <c r="AO220" s="657"/>
      <c r="AQ220" s="657"/>
      <c r="AR220" s="657"/>
      <c r="AS220" s="657"/>
      <c r="AT220" s="657"/>
      <c r="AU220" s="654"/>
      <c r="AV220" s="655"/>
      <c r="AW220" s="655"/>
      <c r="AX220" s="655"/>
      <c r="AZ220" s="657"/>
      <c r="BA220" s="657"/>
      <c r="BC220" s="658"/>
      <c r="BD220" s="658"/>
      <c r="BE220" s="658"/>
      <c r="BF220" s="658"/>
      <c r="BG220" s="659"/>
      <c r="BH220" s="658"/>
      <c r="BJ220" s="658"/>
      <c r="BK220" s="658"/>
      <c r="BL220" s="658"/>
      <c r="BM220" s="658"/>
    </row>
    <row r="221" spans="1:65" s="652" customFormat="1" x14ac:dyDescent="0.35">
      <c r="A221" s="652" t="s">
        <v>780</v>
      </c>
      <c r="L221" s="654"/>
      <c r="M221" s="654"/>
      <c r="O221" s="654"/>
      <c r="P221" s="655"/>
      <c r="Q221" s="655"/>
      <c r="R221" s="655"/>
      <c r="S221" s="655"/>
      <c r="T221" s="655"/>
      <c r="U221" s="655"/>
      <c r="V221" s="655"/>
      <c r="W221" s="655"/>
      <c r="X221" s="655"/>
      <c r="Y221" s="655"/>
      <c r="AA221" s="656"/>
      <c r="AC221" s="657"/>
      <c r="AD221" s="657"/>
      <c r="AE221" s="657"/>
      <c r="AF221" s="657"/>
      <c r="AI221" s="657"/>
      <c r="AJ221" s="657"/>
      <c r="AK221" s="657"/>
      <c r="AL221" s="657"/>
      <c r="AM221" s="657"/>
      <c r="AN221" s="657"/>
      <c r="AO221" s="657"/>
      <c r="AQ221" s="657"/>
      <c r="AR221" s="657"/>
      <c r="AS221" s="657"/>
      <c r="AT221" s="657"/>
      <c r="AU221" s="654"/>
      <c r="AV221" s="655"/>
      <c r="AW221" s="655"/>
      <c r="AX221" s="655"/>
      <c r="AZ221" s="657"/>
      <c r="BA221" s="657"/>
      <c r="BC221" s="658"/>
      <c r="BD221" s="658"/>
      <c r="BE221" s="658"/>
      <c r="BF221" s="658"/>
      <c r="BG221" s="659"/>
      <c r="BH221" s="658"/>
      <c r="BJ221" s="658"/>
      <c r="BK221" s="658"/>
      <c r="BL221" s="658"/>
      <c r="BM221" s="658"/>
    </row>
    <row r="222" spans="1:65" s="652" customFormat="1" x14ac:dyDescent="0.35">
      <c r="A222" s="652" t="s">
        <v>779</v>
      </c>
      <c r="L222" s="654"/>
      <c r="M222" s="654"/>
      <c r="O222" s="654"/>
      <c r="P222" s="655"/>
      <c r="Q222" s="655"/>
      <c r="R222" s="655"/>
      <c r="S222" s="655"/>
      <c r="T222" s="655"/>
      <c r="U222" s="655"/>
      <c r="V222" s="655"/>
      <c r="W222" s="655"/>
      <c r="X222" s="655"/>
      <c r="Y222" s="655"/>
      <c r="AA222" s="656"/>
      <c r="AC222" s="657"/>
      <c r="AD222" s="657"/>
      <c r="AE222" s="657"/>
      <c r="AF222" s="657"/>
      <c r="AI222" s="657"/>
      <c r="AJ222" s="657"/>
      <c r="AK222" s="657"/>
      <c r="AL222" s="657"/>
      <c r="AM222" s="657"/>
      <c r="AN222" s="657"/>
      <c r="AO222" s="657"/>
      <c r="AQ222" s="657"/>
      <c r="AR222" s="657"/>
      <c r="AS222" s="657"/>
      <c r="AT222" s="657"/>
      <c r="AU222" s="654"/>
      <c r="AV222" s="655"/>
      <c r="AW222" s="655"/>
      <c r="AX222" s="655"/>
      <c r="AZ222" s="657"/>
      <c r="BA222" s="657"/>
      <c r="BC222" s="658"/>
      <c r="BD222" s="658"/>
      <c r="BE222" s="658"/>
      <c r="BF222" s="658"/>
      <c r="BG222" s="659"/>
      <c r="BH222" s="658"/>
      <c r="BJ222" s="658"/>
      <c r="BK222" s="658"/>
      <c r="BL222" s="658"/>
      <c r="BM222" s="658"/>
    </row>
    <row r="223" spans="1:65" s="652" customFormat="1" x14ac:dyDescent="0.35">
      <c r="A223" s="652" t="s">
        <v>781</v>
      </c>
      <c r="L223" s="654"/>
      <c r="M223" s="654"/>
      <c r="O223" s="654"/>
      <c r="P223" s="655"/>
      <c r="Q223" s="655"/>
      <c r="R223" s="655"/>
      <c r="S223" s="655"/>
      <c r="T223" s="655"/>
      <c r="U223" s="655"/>
      <c r="V223" s="655"/>
      <c r="W223" s="655"/>
      <c r="X223" s="655"/>
      <c r="Y223" s="655"/>
      <c r="AA223" s="656"/>
      <c r="AC223" s="657"/>
      <c r="AD223" s="657"/>
      <c r="AE223" s="657"/>
      <c r="AF223" s="657"/>
      <c r="AI223" s="657"/>
      <c r="AJ223" s="657"/>
      <c r="AK223" s="657"/>
      <c r="AL223" s="657"/>
      <c r="AM223" s="657"/>
      <c r="AN223" s="657"/>
      <c r="AO223" s="657"/>
      <c r="AQ223" s="657"/>
      <c r="AR223" s="657"/>
      <c r="AS223" s="657"/>
      <c r="AT223" s="657"/>
      <c r="AU223" s="654"/>
      <c r="AV223" s="655"/>
      <c r="AW223" s="655"/>
      <c r="AX223" s="655"/>
      <c r="AZ223" s="657"/>
      <c r="BA223" s="657"/>
      <c r="BC223" s="658"/>
      <c r="BD223" s="658"/>
      <c r="BE223" s="658"/>
      <c r="BF223" s="658"/>
      <c r="BG223" s="659"/>
      <c r="BH223" s="658"/>
      <c r="BJ223" s="658"/>
      <c r="BK223" s="658"/>
      <c r="BL223" s="658"/>
      <c r="BM223" s="658"/>
    </row>
    <row r="224" spans="1:65" s="652" customFormat="1" x14ac:dyDescent="0.35">
      <c r="L224" s="654"/>
      <c r="M224" s="654"/>
      <c r="O224" s="654"/>
      <c r="P224" s="655"/>
      <c r="Q224" s="655"/>
      <c r="R224" s="655"/>
      <c r="S224" s="655"/>
      <c r="T224" s="655"/>
      <c r="U224" s="655"/>
      <c r="V224" s="655"/>
      <c r="W224" s="655"/>
      <c r="X224" s="655"/>
      <c r="Y224" s="655"/>
      <c r="AA224" s="656"/>
      <c r="AC224" s="657"/>
      <c r="AD224" s="657"/>
      <c r="AE224" s="657"/>
      <c r="AF224" s="657"/>
      <c r="AI224" s="657"/>
      <c r="AJ224" s="657"/>
      <c r="AK224" s="657"/>
      <c r="AL224" s="657"/>
      <c r="AM224" s="657"/>
      <c r="AN224" s="657"/>
      <c r="AO224" s="657"/>
      <c r="AQ224" s="657"/>
      <c r="AR224" s="657"/>
      <c r="AS224" s="657"/>
      <c r="AT224" s="657"/>
      <c r="AU224" s="654"/>
      <c r="AV224" s="655"/>
      <c r="AW224" s="655"/>
      <c r="AX224" s="655"/>
      <c r="AZ224" s="657"/>
      <c r="BA224" s="657"/>
      <c r="BC224" s="658"/>
      <c r="BD224" s="658"/>
      <c r="BE224" s="658"/>
      <c r="BF224" s="658"/>
      <c r="BG224" s="659"/>
      <c r="BH224" s="658"/>
      <c r="BJ224" s="658"/>
      <c r="BK224" s="658"/>
      <c r="BL224" s="658"/>
      <c r="BM224" s="658"/>
    </row>
    <row r="225" spans="12:65" s="652" customFormat="1" x14ac:dyDescent="0.35">
      <c r="L225" s="654"/>
      <c r="M225" s="654"/>
      <c r="O225" s="654"/>
      <c r="P225" s="655"/>
      <c r="Q225" s="655"/>
      <c r="R225" s="655"/>
      <c r="S225" s="655"/>
      <c r="T225" s="655"/>
      <c r="U225" s="655"/>
      <c r="V225" s="655"/>
      <c r="W225" s="655"/>
      <c r="X225" s="655"/>
      <c r="Y225" s="655"/>
      <c r="AA225" s="656"/>
      <c r="AC225" s="657"/>
      <c r="AD225" s="657"/>
      <c r="AE225" s="657"/>
      <c r="AF225" s="657"/>
      <c r="AI225" s="657"/>
      <c r="AJ225" s="657"/>
      <c r="AK225" s="657"/>
      <c r="AL225" s="657"/>
      <c r="AM225" s="657"/>
      <c r="AN225" s="657"/>
      <c r="AO225" s="657"/>
      <c r="AQ225" s="657"/>
      <c r="AR225" s="657"/>
      <c r="AS225" s="657"/>
      <c r="AT225" s="657"/>
      <c r="AU225" s="654"/>
      <c r="AV225" s="655"/>
      <c r="AW225" s="655"/>
      <c r="AX225" s="655"/>
      <c r="AZ225" s="657"/>
      <c r="BA225" s="657"/>
      <c r="BC225" s="658"/>
      <c r="BD225" s="658"/>
      <c r="BE225" s="658"/>
      <c r="BF225" s="658"/>
      <c r="BG225" s="659"/>
      <c r="BH225" s="658"/>
      <c r="BJ225" s="658"/>
      <c r="BK225" s="658"/>
      <c r="BL225" s="658"/>
      <c r="BM225" s="658"/>
    </row>
    <row r="226" spans="12:65" s="652" customFormat="1" x14ac:dyDescent="0.35">
      <c r="L226" s="654"/>
      <c r="M226" s="654"/>
      <c r="O226" s="654"/>
      <c r="P226" s="655"/>
      <c r="Q226" s="655"/>
      <c r="R226" s="655"/>
      <c r="S226" s="655"/>
      <c r="T226" s="655"/>
      <c r="U226" s="655"/>
      <c r="V226" s="655"/>
      <c r="W226" s="655"/>
      <c r="X226" s="655"/>
      <c r="Y226" s="655"/>
      <c r="AA226" s="656"/>
      <c r="AC226" s="657"/>
      <c r="AD226" s="657"/>
      <c r="AE226" s="657"/>
      <c r="AF226" s="657"/>
      <c r="AI226" s="657"/>
      <c r="AJ226" s="657"/>
      <c r="AK226" s="657"/>
      <c r="AL226" s="657"/>
      <c r="AM226" s="657"/>
      <c r="AN226" s="657"/>
      <c r="AO226" s="657"/>
      <c r="AQ226" s="657"/>
      <c r="AR226" s="657"/>
      <c r="AS226" s="657"/>
      <c r="AT226" s="657"/>
      <c r="AU226" s="654"/>
      <c r="AV226" s="655"/>
      <c r="AW226" s="655"/>
      <c r="AX226" s="655"/>
      <c r="AZ226" s="657"/>
      <c r="BA226" s="657"/>
      <c r="BC226" s="658"/>
      <c r="BD226" s="658"/>
      <c r="BE226" s="658"/>
      <c r="BF226" s="658"/>
      <c r="BG226" s="659"/>
      <c r="BH226" s="658"/>
      <c r="BJ226" s="658"/>
      <c r="BK226" s="658"/>
      <c r="BL226" s="658"/>
      <c r="BM226" s="658"/>
    </row>
    <row r="227" spans="12:65" s="652" customFormat="1" x14ac:dyDescent="0.35">
      <c r="L227" s="654"/>
      <c r="M227" s="654"/>
      <c r="O227" s="654"/>
      <c r="P227" s="655"/>
      <c r="Q227" s="655"/>
      <c r="R227" s="655"/>
      <c r="S227" s="655"/>
      <c r="T227" s="655"/>
      <c r="U227" s="655"/>
      <c r="V227" s="655"/>
      <c r="W227" s="655"/>
      <c r="X227" s="655"/>
      <c r="Y227" s="655"/>
      <c r="AA227" s="656"/>
      <c r="AC227" s="657"/>
      <c r="AD227" s="657"/>
      <c r="AE227" s="657"/>
      <c r="AF227" s="657"/>
      <c r="AI227" s="657"/>
      <c r="AJ227" s="657"/>
      <c r="AK227" s="657"/>
      <c r="AL227" s="657"/>
      <c r="AM227" s="657"/>
      <c r="AN227" s="657"/>
      <c r="AO227" s="657"/>
      <c r="AQ227" s="657"/>
      <c r="AR227" s="657"/>
      <c r="AS227" s="657"/>
      <c r="AT227" s="657"/>
      <c r="AU227" s="654"/>
      <c r="AV227" s="655"/>
      <c r="AW227" s="655"/>
      <c r="AX227" s="655"/>
      <c r="AZ227" s="657"/>
      <c r="BA227" s="657"/>
      <c r="BC227" s="658"/>
      <c r="BD227" s="658"/>
      <c r="BE227" s="658"/>
      <c r="BF227" s="658"/>
      <c r="BG227" s="659"/>
      <c r="BH227" s="658"/>
      <c r="BJ227" s="658"/>
      <c r="BK227" s="658"/>
      <c r="BL227" s="658"/>
      <c r="BM227" s="658"/>
    </row>
    <row r="228" spans="12:65" s="652" customFormat="1" x14ac:dyDescent="0.35">
      <c r="L228" s="654"/>
      <c r="M228" s="654"/>
      <c r="O228" s="654"/>
      <c r="P228" s="655"/>
      <c r="Q228" s="655"/>
      <c r="R228" s="655"/>
      <c r="S228" s="655"/>
      <c r="T228" s="655"/>
      <c r="U228" s="655"/>
      <c r="V228" s="655"/>
      <c r="W228" s="655"/>
      <c r="X228" s="655"/>
      <c r="Y228" s="655"/>
      <c r="AA228" s="656"/>
      <c r="AC228" s="657"/>
      <c r="AD228" s="657"/>
      <c r="AE228" s="657"/>
      <c r="AF228" s="657"/>
      <c r="AI228" s="657"/>
      <c r="AJ228" s="657"/>
      <c r="AK228" s="657"/>
      <c r="AL228" s="657"/>
      <c r="AM228" s="657"/>
      <c r="AN228" s="657"/>
      <c r="AO228" s="657"/>
      <c r="AQ228" s="657"/>
      <c r="AR228" s="657"/>
      <c r="AS228" s="657"/>
      <c r="AT228" s="657"/>
      <c r="AU228" s="654"/>
      <c r="AV228" s="655"/>
      <c r="AW228" s="655"/>
      <c r="AX228" s="655"/>
      <c r="AZ228" s="657"/>
      <c r="BA228" s="657"/>
      <c r="BC228" s="658"/>
      <c r="BD228" s="658"/>
      <c r="BE228" s="658"/>
      <c r="BF228" s="658"/>
      <c r="BG228" s="659"/>
      <c r="BH228" s="658"/>
      <c r="BJ228" s="658"/>
      <c r="BK228" s="658"/>
      <c r="BL228" s="658"/>
      <c r="BM228" s="658"/>
    </row>
    <row r="229" spans="12:65" s="652" customFormat="1" x14ac:dyDescent="0.35">
      <c r="L229" s="654"/>
      <c r="M229" s="654"/>
      <c r="O229" s="654"/>
      <c r="P229" s="655"/>
      <c r="Q229" s="655"/>
      <c r="R229" s="655"/>
      <c r="S229" s="655"/>
      <c r="T229" s="655"/>
      <c r="U229" s="655"/>
      <c r="V229" s="655"/>
      <c r="W229" s="655"/>
      <c r="X229" s="655"/>
      <c r="Y229" s="655"/>
      <c r="AA229" s="656"/>
      <c r="AC229" s="657"/>
      <c r="AD229" s="657"/>
      <c r="AE229" s="657"/>
      <c r="AF229" s="657"/>
      <c r="AI229" s="657"/>
      <c r="AJ229" s="657"/>
      <c r="AK229" s="657"/>
      <c r="AL229" s="657"/>
      <c r="AM229" s="657"/>
      <c r="AN229" s="657"/>
      <c r="AO229" s="657"/>
      <c r="AQ229" s="657"/>
      <c r="AR229" s="657"/>
      <c r="AS229" s="657"/>
      <c r="AT229" s="657"/>
      <c r="AU229" s="654"/>
      <c r="AV229" s="655"/>
      <c r="AW229" s="655"/>
      <c r="AX229" s="655"/>
      <c r="AZ229" s="657"/>
      <c r="BA229" s="657"/>
      <c r="BC229" s="658"/>
      <c r="BD229" s="658"/>
      <c r="BE229" s="658"/>
      <c r="BF229" s="658"/>
      <c r="BG229" s="659"/>
      <c r="BH229" s="658"/>
      <c r="BJ229" s="658"/>
      <c r="BK229" s="658"/>
      <c r="BL229" s="658"/>
      <c r="BM229" s="658"/>
    </row>
    <row r="230" spans="12:65" s="652" customFormat="1" x14ac:dyDescent="0.35">
      <c r="L230" s="654"/>
      <c r="M230" s="654"/>
      <c r="O230" s="654"/>
      <c r="P230" s="655"/>
      <c r="Q230" s="655"/>
      <c r="R230" s="655"/>
      <c r="S230" s="655"/>
      <c r="T230" s="655"/>
      <c r="U230" s="655"/>
      <c r="V230" s="655"/>
      <c r="W230" s="655"/>
      <c r="X230" s="655"/>
      <c r="Y230" s="655"/>
      <c r="AA230" s="656"/>
      <c r="AC230" s="657"/>
      <c r="AD230" s="657"/>
      <c r="AE230" s="657"/>
      <c r="AF230" s="657"/>
      <c r="AI230" s="657"/>
      <c r="AJ230" s="657"/>
      <c r="AK230" s="657"/>
      <c r="AL230" s="657"/>
      <c r="AM230" s="657"/>
      <c r="AN230" s="657"/>
      <c r="AO230" s="657"/>
      <c r="AQ230" s="657"/>
      <c r="AR230" s="657"/>
      <c r="AS230" s="657"/>
      <c r="AT230" s="657"/>
      <c r="AU230" s="654"/>
      <c r="AV230" s="655"/>
      <c r="AW230" s="655"/>
      <c r="AX230" s="655"/>
      <c r="AZ230" s="657"/>
      <c r="BA230" s="657"/>
      <c r="BC230" s="658"/>
      <c r="BD230" s="658"/>
      <c r="BE230" s="658"/>
      <c r="BF230" s="658"/>
      <c r="BG230" s="659"/>
      <c r="BH230" s="658"/>
      <c r="BJ230" s="658"/>
      <c r="BK230" s="658"/>
      <c r="BL230" s="658"/>
      <c r="BM230" s="658"/>
    </row>
    <row r="231" spans="12:65" s="652" customFormat="1" x14ac:dyDescent="0.35">
      <c r="L231" s="654"/>
      <c r="M231" s="654"/>
      <c r="O231" s="654"/>
      <c r="P231" s="655"/>
      <c r="Q231" s="655"/>
      <c r="R231" s="655"/>
      <c r="S231" s="655"/>
      <c r="T231" s="655"/>
      <c r="U231" s="655"/>
      <c r="V231" s="655"/>
      <c r="W231" s="655"/>
      <c r="X231" s="655"/>
      <c r="Y231" s="655"/>
      <c r="AA231" s="656"/>
      <c r="AC231" s="657"/>
      <c r="AD231" s="657"/>
      <c r="AE231" s="657"/>
      <c r="AF231" s="657"/>
      <c r="AI231" s="657"/>
      <c r="AJ231" s="657"/>
      <c r="AK231" s="657"/>
      <c r="AL231" s="657"/>
      <c r="AM231" s="657"/>
      <c r="AN231" s="657"/>
      <c r="AO231" s="657"/>
      <c r="AQ231" s="657"/>
      <c r="AR231" s="657"/>
      <c r="AS231" s="657"/>
      <c r="AT231" s="657"/>
      <c r="AU231" s="654"/>
      <c r="AV231" s="655"/>
      <c r="AW231" s="655"/>
      <c r="AX231" s="655"/>
      <c r="AZ231" s="657"/>
      <c r="BA231" s="657"/>
      <c r="BC231" s="658"/>
      <c r="BD231" s="658"/>
      <c r="BE231" s="658"/>
      <c r="BF231" s="658"/>
      <c r="BG231" s="659"/>
      <c r="BH231" s="658"/>
      <c r="BJ231" s="658"/>
      <c r="BK231" s="658"/>
      <c r="BL231" s="658"/>
      <c r="BM231" s="658"/>
    </row>
    <row r="232" spans="12:65" s="652" customFormat="1" x14ac:dyDescent="0.35">
      <c r="L232" s="654"/>
      <c r="M232" s="654"/>
      <c r="O232" s="654"/>
      <c r="P232" s="655"/>
      <c r="Q232" s="655"/>
      <c r="R232" s="655"/>
      <c r="S232" s="655"/>
      <c r="T232" s="655"/>
      <c r="U232" s="655"/>
      <c r="V232" s="655"/>
      <c r="W232" s="655"/>
      <c r="X232" s="655"/>
      <c r="Y232" s="655"/>
      <c r="AA232" s="656"/>
      <c r="AC232" s="657"/>
      <c r="AD232" s="657"/>
      <c r="AE232" s="657"/>
      <c r="AF232" s="657"/>
      <c r="AI232" s="657"/>
      <c r="AJ232" s="657"/>
      <c r="AK232" s="657"/>
      <c r="AL232" s="657"/>
      <c r="AM232" s="657"/>
      <c r="AN232" s="657"/>
      <c r="AO232" s="657"/>
      <c r="AQ232" s="657"/>
      <c r="AR232" s="657"/>
      <c r="AS232" s="657"/>
      <c r="AT232" s="657"/>
      <c r="AU232" s="654"/>
      <c r="AV232" s="655"/>
      <c r="AW232" s="655"/>
      <c r="AX232" s="655"/>
      <c r="AZ232" s="657"/>
      <c r="BA232" s="657"/>
      <c r="BC232" s="658"/>
      <c r="BD232" s="658"/>
      <c r="BE232" s="658"/>
      <c r="BF232" s="658"/>
      <c r="BG232" s="659"/>
      <c r="BH232" s="658"/>
      <c r="BJ232" s="658"/>
      <c r="BK232" s="658"/>
      <c r="BL232" s="658"/>
      <c r="BM232" s="658"/>
    </row>
    <row r="233" spans="12:65" s="652" customFormat="1" x14ac:dyDescent="0.35">
      <c r="L233" s="654"/>
      <c r="M233" s="654"/>
      <c r="O233" s="654"/>
      <c r="P233" s="655"/>
      <c r="Q233" s="655"/>
      <c r="R233" s="655"/>
      <c r="S233" s="655"/>
      <c r="T233" s="655"/>
      <c r="U233" s="655"/>
      <c r="V233" s="655"/>
      <c r="W233" s="655"/>
      <c r="X233" s="655"/>
      <c r="Y233" s="655"/>
      <c r="AA233" s="656"/>
      <c r="AC233" s="657"/>
      <c r="AD233" s="657"/>
      <c r="AE233" s="657"/>
      <c r="AF233" s="657"/>
      <c r="AI233" s="657"/>
      <c r="AJ233" s="657"/>
      <c r="AK233" s="657"/>
      <c r="AL233" s="657"/>
      <c r="AM233" s="657"/>
      <c r="AN233" s="657"/>
      <c r="AO233" s="657"/>
      <c r="AQ233" s="657"/>
      <c r="AR233" s="657"/>
      <c r="AS233" s="657"/>
      <c r="AT233" s="657"/>
      <c r="AU233" s="654"/>
      <c r="AV233" s="655"/>
      <c r="AW233" s="655"/>
      <c r="AX233" s="655"/>
      <c r="AZ233" s="657"/>
      <c r="BA233" s="657"/>
      <c r="BC233" s="658"/>
      <c r="BD233" s="658"/>
      <c r="BE233" s="658"/>
      <c r="BF233" s="658"/>
      <c r="BG233" s="659"/>
      <c r="BH233" s="658"/>
      <c r="BJ233" s="658"/>
      <c r="BK233" s="658"/>
      <c r="BL233" s="658"/>
      <c r="BM233" s="658"/>
    </row>
    <row r="234" spans="12:65" s="652" customFormat="1" x14ac:dyDescent="0.35">
      <c r="L234" s="654"/>
      <c r="M234" s="654"/>
      <c r="O234" s="654"/>
      <c r="P234" s="655"/>
      <c r="Q234" s="655"/>
      <c r="R234" s="655"/>
      <c r="S234" s="655"/>
      <c r="T234" s="655"/>
      <c r="U234" s="655"/>
      <c r="V234" s="655"/>
      <c r="W234" s="655"/>
      <c r="X234" s="655"/>
      <c r="Y234" s="655"/>
      <c r="AA234" s="656"/>
      <c r="AC234" s="657"/>
      <c r="AD234" s="657"/>
      <c r="AE234" s="657"/>
      <c r="AF234" s="657"/>
      <c r="AI234" s="657"/>
      <c r="AJ234" s="657"/>
      <c r="AK234" s="657"/>
      <c r="AL234" s="657"/>
      <c r="AM234" s="657"/>
      <c r="AN234" s="657"/>
      <c r="AO234" s="657"/>
      <c r="AQ234" s="657"/>
      <c r="AR234" s="657"/>
      <c r="AS234" s="657"/>
      <c r="AT234" s="657"/>
      <c r="AU234" s="654"/>
      <c r="AV234" s="655"/>
      <c r="AW234" s="655"/>
      <c r="AX234" s="655"/>
      <c r="AZ234" s="657"/>
      <c r="BA234" s="657"/>
      <c r="BC234" s="658"/>
      <c r="BD234" s="658"/>
      <c r="BE234" s="658"/>
      <c r="BF234" s="658"/>
      <c r="BG234" s="659"/>
      <c r="BH234" s="658"/>
      <c r="BJ234" s="658"/>
      <c r="BK234" s="658"/>
      <c r="BL234" s="658"/>
      <c r="BM234" s="658"/>
    </row>
    <row r="235" spans="12:65" s="652" customFormat="1" x14ac:dyDescent="0.35">
      <c r="L235" s="654"/>
      <c r="M235" s="654"/>
      <c r="O235" s="654"/>
      <c r="P235" s="655"/>
      <c r="Q235" s="655"/>
      <c r="R235" s="655"/>
      <c r="S235" s="655"/>
      <c r="T235" s="655"/>
      <c r="U235" s="655"/>
      <c r="V235" s="655"/>
      <c r="W235" s="655"/>
      <c r="X235" s="655"/>
      <c r="Y235" s="655"/>
      <c r="AA235" s="656"/>
      <c r="AC235" s="657"/>
      <c r="AD235" s="657"/>
      <c r="AE235" s="657"/>
      <c r="AF235" s="657"/>
      <c r="AI235" s="657"/>
      <c r="AJ235" s="657"/>
      <c r="AK235" s="657"/>
      <c r="AL235" s="657"/>
      <c r="AM235" s="657"/>
      <c r="AN235" s="657"/>
      <c r="AO235" s="657"/>
      <c r="AQ235" s="657"/>
      <c r="AR235" s="657"/>
      <c r="AS235" s="657"/>
      <c r="AT235" s="657"/>
      <c r="AU235" s="654"/>
      <c r="AV235" s="655"/>
      <c r="AW235" s="655"/>
      <c r="AX235" s="655"/>
      <c r="AZ235" s="657"/>
      <c r="BA235" s="657"/>
      <c r="BC235" s="658"/>
      <c r="BD235" s="658"/>
      <c r="BE235" s="658"/>
      <c r="BF235" s="658"/>
      <c r="BG235" s="659"/>
      <c r="BH235" s="658"/>
      <c r="BJ235" s="658"/>
      <c r="BK235" s="658"/>
      <c r="BL235" s="658"/>
      <c r="BM235" s="658"/>
    </row>
    <row r="236" spans="12:65" s="652" customFormat="1" x14ac:dyDescent="0.35">
      <c r="L236" s="654"/>
      <c r="M236" s="654"/>
      <c r="O236" s="654"/>
      <c r="P236" s="655"/>
      <c r="Q236" s="655"/>
      <c r="R236" s="655"/>
      <c r="S236" s="655"/>
      <c r="T236" s="655"/>
      <c r="U236" s="655"/>
      <c r="V236" s="655"/>
      <c r="W236" s="655"/>
      <c r="X236" s="655"/>
      <c r="Y236" s="655"/>
      <c r="AA236" s="656"/>
      <c r="AC236" s="657"/>
      <c r="AD236" s="657"/>
      <c r="AE236" s="657"/>
      <c r="AF236" s="657"/>
      <c r="AI236" s="657"/>
      <c r="AJ236" s="657"/>
      <c r="AK236" s="657"/>
      <c r="AL236" s="657"/>
      <c r="AM236" s="657"/>
      <c r="AN236" s="657"/>
      <c r="AO236" s="657"/>
      <c r="AQ236" s="657"/>
      <c r="AR236" s="657"/>
      <c r="AS236" s="657"/>
      <c r="AT236" s="657"/>
      <c r="AU236" s="654"/>
      <c r="AV236" s="655"/>
      <c r="AW236" s="655"/>
      <c r="AX236" s="655"/>
      <c r="AZ236" s="657"/>
      <c r="BA236" s="657"/>
      <c r="BC236" s="658"/>
      <c r="BD236" s="658"/>
      <c r="BE236" s="658"/>
      <c r="BF236" s="658"/>
      <c r="BG236" s="659"/>
      <c r="BH236" s="658"/>
      <c r="BJ236" s="658"/>
      <c r="BK236" s="658"/>
      <c r="BL236" s="658"/>
      <c r="BM236" s="658"/>
    </row>
    <row r="237" spans="12:65" s="652" customFormat="1" x14ac:dyDescent="0.35">
      <c r="L237" s="654"/>
      <c r="M237" s="654"/>
      <c r="O237" s="654"/>
      <c r="P237" s="655"/>
      <c r="Q237" s="655"/>
      <c r="R237" s="655"/>
      <c r="S237" s="655"/>
      <c r="T237" s="655"/>
      <c r="U237" s="655"/>
      <c r="V237" s="655"/>
      <c r="W237" s="655"/>
      <c r="X237" s="655"/>
      <c r="Y237" s="655"/>
      <c r="AA237" s="656"/>
      <c r="AC237" s="657"/>
      <c r="AD237" s="657"/>
      <c r="AE237" s="657"/>
      <c r="AF237" s="657"/>
      <c r="AI237" s="657"/>
      <c r="AJ237" s="657"/>
      <c r="AK237" s="657"/>
      <c r="AL237" s="657"/>
      <c r="AM237" s="657"/>
      <c r="AN237" s="657"/>
      <c r="AO237" s="657"/>
      <c r="AQ237" s="657"/>
      <c r="AR237" s="657"/>
      <c r="AS237" s="657"/>
      <c r="AT237" s="657"/>
      <c r="AU237" s="654"/>
      <c r="AV237" s="655"/>
      <c r="AW237" s="655"/>
      <c r="AX237" s="655"/>
      <c r="AZ237" s="657"/>
      <c r="BA237" s="657"/>
      <c r="BC237" s="658"/>
      <c r="BD237" s="658"/>
      <c r="BE237" s="658"/>
      <c r="BF237" s="658"/>
      <c r="BG237" s="659"/>
      <c r="BH237" s="658"/>
      <c r="BJ237" s="658"/>
      <c r="BK237" s="658"/>
      <c r="BL237" s="658"/>
      <c r="BM237" s="658"/>
    </row>
    <row r="238" spans="12:65" s="652" customFormat="1" x14ac:dyDescent="0.35">
      <c r="L238" s="654"/>
      <c r="M238" s="654"/>
      <c r="O238" s="654"/>
      <c r="P238" s="655"/>
      <c r="Q238" s="655"/>
      <c r="R238" s="655"/>
      <c r="S238" s="655"/>
      <c r="T238" s="655"/>
      <c r="U238" s="655"/>
      <c r="V238" s="655"/>
      <c r="W238" s="655"/>
      <c r="X238" s="655"/>
      <c r="Y238" s="655"/>
      <c r="AA238" s="656"/>
      <c r="AC238" s="657"/>
      <c r="AD238" s="657"/>
      <c r="AE238" s="657"/>
      <c r="AF238" s="657"/>
      <c r="AI238" s="657"/>
      <c r="AJ238" s="657"/>
      <c r="AK238" s="657"/>
      <c r="AL238" s="657"/>
      <c r="AM238" s="657"/>
      <c r="AN238" s="657"/>
      <c r="AO238" s="657"/>
      <c r="AQ238" s="657"/>
      <c r="AR238" s="657"/>
      <c r="AS238" s="657"/>
      <c r="AT238" s="657"/>
      <c r="AU238" s="654"/>
      <c r="AV238" s="655"/>
      <c r="AW238" s="655"/>
      <c r="AX238" s="655"/>
      <c r="AZ238" s="657"/>
      <c r="BA238" s="657"/>
      <c r="BC238" s="658"/>
      <c r="BD238" s="658"/>
      <c r="BE238" s="658"/>
      <c r="BF238" s="658"/>
      <c r="BG238" s="659"/>
      <c r="BH238" s="658"/>
      <c r="BJ238" s="658"/>
      <c r="BK238" s="658"/>
      <c r="BL238" s="658"/>
      <c r="BM238" s="658"/>
    </row>
    <row r="239" spans="12:65" s="652" customFormat="1" x14ac:dyDescent="0.35">
      <c r="L239" s="654"/>
      <c r="M239" s="654"/>
      <c r="O239" s="654"/>
      <c r="P239" s="655"/>
      <c r="Q239" s="655"/>
      <c r="R239" s="655"/>
      <c r="S239" s="655"/>
      <c r="T239" s="655"/>
      <c r="U239" s="655"/>
      <c r="V239" s="655"/>
      <c r="W239" s="655"/>
      <c r="X239" s="655"/>
      <c r="Y239" s="655"/>
      <c r="AA239" s="656"/>
      <c r="AC239" s="657"/>
      <c r="AD239" s="657"/>
      <c r="AE239" s="657"/>
      <c r="AF239" s="657"/>
      <c r="AI239" s="657"/>
      <c r="AJ239" s="657"/>
      <c r="AK239" s="657"/>
      <c r="AL239" s="657"/>
      <c r="AM239" s="657"/>
      <c r="AN239" s="657"/>
      <c r="AO239" s="657"/>
      <c r="AQ239" s="657"/>
      <c r="AR239" s="657"/>
      <c r="AS239" s="657"/>
      <c r="AT239" s="657"/>
      <c r="AU239" s="654"/>
      <c r="AV239" s="655"/>
      <c r="AW239" s="655"/>
      <c r="AX239" s="655"/>
      <c r="AZ239" s="657"/>
      <c r="BA239" s="657"/>
      <c r="BC239" s="658"/>
      <c r="BD239" s="658"/>
      <c r="BE239" s="658"/>
      <c r="BF239" s="658"/>
      <c r="BG239" s="659"/>
      <c r="BH239" s="658"/>
      <c r="BJ239" s="658"/>
      <c r="BK239" s="658"/>
      <c r="BL239" s="658"/>
      <c r="BM239" s="658"/>
    </row>
    <row r="240" spans="12:65" s="652" customFormat="1" x14ac:dyDescent="0.35">
      <c r="L240" s="654"/>
      <c r="M240" s="654"/>
      <c r="O240" s="654"/>
      <c r="P240" s="655"/>
      <c r="Q240" s="655"/>
      <c r="R240" s="655"/>
      <c r="S240" s="655"/>
      <c r="T240" s="655"/>
      <c r="U240" s="655"/>
      <c r="V240" s="655"/>
      <c r="W240" s="655"/>
      <c r="X240" s="655"/>
      <c r="Y240" s="655"/>
      <c r="AA240" s="656"/>
      <c r="AC240" s="657"/>
      <c r="AD240" s="657"/>
      <c r="AE240" s="657"/>
      <c r="AF240" s="657"/>
      <c r="AI240" s="657"/>
      <c r="AJ240" s="657"/>
      <c r="AK240" s="657"/>
      <c r="AL240" s="657"/>
      <c r="AM240" s="657"/>
      <c r="AN240" s="657"/>
      <c r="AO240" s="657"/>
      <c r="AQ240" s="657"/>
      <c r="AR240" s="657"/>
      <c r="AS240" s="657"/>
      <c r="AT240" s="657"/>
      <c r="AU240" s="654"/>
      <c r="AV240" s="655"/>
      <c r="AW240" s="655"/>
      <c r="AX240" s="655"/>
      <c r="AZ240" s="657"/>
      <c r="BA240" s="657"/>
      <c r="BC240" s="658"/>
      <c r="BD240" s="658"/>
      <c r="BE240" s="658"/>
      <c r="BF240" s="658"/>
      <c r="BG240" s="659"/>
      <c r="BH240" s="658"/>
      <c r="BJ240" s="658"/>
      <c r="BK240" s="658"/>
      <c r="BL240" s="658"/>
      <c r="BM240" s="658"/>
    </row>
    <row r="241" spans="12:65" s="652" customFormat="1" x14ac:dyDescent="0.35">
      <c r="L241" s="654"/>
      <c r="M241" s="654"/>
      <c r="O241" s="654"/>
      <c r="P241" s="655"/>
      <c r="Q241" s="655"/>
      <c r="R241" s="655"/>
      <c r="S241" s="655"/>
      <c r="T241" s="655"/>
      <c r="U241" s="655"/>
      <c r="V241" s="655"/>
      <c r="W241" s="655"/>
      <c r="X241" s="655"/>
      <c r="Y241" s="655"/>
      <c r="AA241" s="656"/>
      <c r="AC241" s="657"/>
      <c r="AD241" s="657"/>
      <c r="AE241" s="657"/>
      <c r="AF241" s="657"/>
      <c r="AI241" s="657"/>
      <c r="AJ241" s="657"/>
      <c r="AK241" s="657"/>
      <c r="AL241" s="657"/>
      <c r="AM241" s="657"/>
      <c r="AN241" s="657"/>
      <c r="AO241" s="657"/>
      <c r="AQ241" s="657"/>
      <c r="AR241" s="657"/>
      <c r="AS241" s="657"/>
      <c r="AT241" s="657"/>
      <c r="AU241" s="654"/>
      <c r="AV241" s="655"/>
      <c r="AW241" s="655"/>
      <c r="AX241" s="655"/>
      <c r="AZ241" s="657"/>
      <c r="BA241" s="657"/>
      <c r="BC241" s="658"/>
      <c r="BD241" s="658"/>
      <c r="BE241" s="658"/>
      <c r="BF241" s="658"/>
      <c r="BG241" s="659"/>
      <c r="BH241" s="658"/>
      <c r="BJ241" s="658"/>
      <c r="BK241" s="658"/>
      <c r="BL241" s="658"/>
      <c r="BM241" s="658"/>
    </row>
    <row r="242" spans="12:65" s="652" customFormat="1" x14ac:dyDescent="0.35">
      <c r="L242" s="654"/>
      <c r="M242" s="654"/>
      <c r="O242" s="654"/>
      <c r="P242" s="655"/>
      <c r="Q242" s="655"/>
      <c r="R242" s="655"/>
      <c r="S242" s="655"/>
      <c r="T242" s="655"/>
      <c r="U242" s="655"/>
      <c r="V242" s="655"/>
      <c r="W242" s="655"/>
      <c r="X242" s="655"/>
      <c r="Y242" s="655"/>
      <c r="AA242" s="656"/>
      <c r="AC242" s="657"/>
      <c r="AD242" s="657"/>
      <c r="AE242" s="657"/>
      <c r="AF242" s="657"/>
      <c r="AI242" s="657"/>
      <c r="AJ242" s="657"/>
      <c r="AK242" s="657"/>
      <c r="AL242" s="657"/>
      <c r="AM242" s="657"/>
      <c r="AN242" s="657"/>
      <c r="AO242" s="657"/>
      <c r="AQ242" s="657"/>
      <c r="AR242" s="657"/>
      <c r="AS242" s="657"/>
      <c r="AT242" s="657"/>
      <c r="AU242" s="654"/>
      <c r="AV242" s="655"/>
      <c r="AW242" s="655"/>
      <c r="AX242" s="655"/>
      <c r="AZ242" s="657"/>
      <c r="BA242" s="657"/>
      <c r="BC242" s="658"/>
      <c r="BD242" s="658"/>
      <c r="BE242" s="658"/>
      <c r="BF242" s="658"/>
      <c r="BG242" s="659"/>
      <c r="BH242" s="658"/>
      <c r="BJ242" s="658"/>
      <c r="BK242" s="658"/>
      <c r="BL242" s="658"/>
      <c r="BM242" s="658"/>
    </row>
    <row r="243" spans="12:65" s="652" customFormat="1" x14ac:dyDescent="0.35">
      <c r="L243" s="654"/>
      <c r="M243" s="654"/>
      <c r="O243" s="654"/>
      <c r="P243" s="655"/>
      <c r="Q243" s="655"/>
      <c r="R243" s="655"/>
      <c r="S243" s="655"/>
      <c r="T243" s="655"/>
      <c r="U243" s="655"/>
      <c r="V243" s="655"/>
      <c r="W243" s="655"/>
      <c r="X243" s="655"/>
      <c r="Y243" s="655"/>
      <c r="AA243" s="656"/>
      <c r="AC243" s="657"/>
      <c r="AD243" s="657"/>
      <c r="AE243" s="657"/>
      <c r="AF243" s="657"/>
      <c r="AI243" s="657"/>
      <c r="AJ243" s="657"/>
      <c r="AK243" s="657"/>
      <c r="AL243" s="657"/>
      <c r="AM243" s="657"/>
      <c r="AN243" s="657"/>
      <c r="AO243" s="657"/>
      <c r="AQ243" s="657"/>
      <c r="AR243" s="657"/>
      <c r="AS243" s="657"/>
      <c r="AT243" s="657"/>
      <c r="AU243" s="654"/>
      <c r="AV243" s="655"/>
      <c r="AW243" s="655"/>
      <c r="AX243" s="655"/>
      <c r="AZ243" s="657"/>
      <c r="BA243" s="657"/>
      <c r="BC243" s="658"/>
      <c r="BD243" s="658"/>
      <c r="BE243" s="658"/>
      <c r="BF243" s="658"/>
      <c r="BG243" s="659"/>
      <c r="BH243" s="658"/>
      <c r="BJ243" s="658"/>
      <c r="BK243" s="658"/>
      <c r="BL243" s="658"/>
      <c r="BM243" s="658"/>
    </row>
    <row r="244" spans="12:65" s="652" customFormat="1" x14ac:dyDescent="0.35">
      <c r="L244" s="654"/>
      <c r="M244" s="654"/>
      <c r="O244" s="654"/>
      <c r="P244" s="655"/>
      <c r="Q244" s="655"/>
      <c r="R244" s="655"/>
      <c r="S244" s="655"/>
      <c r="T244" s="655"/>
      <c r="U244" s="655"/>
      <c r="V244" s="655"/>
      <c r="W244" s="655"/>
      <c r="X244" s="655"/>
      <c r="Y244" s="655"/>
      <c r="AA244" s="656"/>
      <c r="AC244" s="657"/>
      <c r="AD244" s="657"/>
      <c r="AE244" s="657"/>
      <c r="AF244" s="657"/>
      <c r="AI244" s="657"/>
      <c r="AJ244" s="657"/>
      <c r="AK244" s="657"/>
      <c r="AL244" s="657"/>
      <c r="AM244" s="657"/>
      <c r="AN244" s="657"/>
      <c r="AO244" s="657"/>
      <c r="AQ244" s="657"/>
      <c r="AR244" s="657"/>
      <c r="AS244" s="657"/>
      <c r="AT244" s="657"/>
      <c r="AU244" s="654"/>
      <c r="AV244" s="655"/>
      <c r="AW244" s="655"/>
      <c r="AX244" s="655"/>
      <c r="AZ244" s="657"/>
      <c r="BA244" s="657"/>
      <c r="BC244" s="658"/>
      <c r="BD244" s="658"/>
      <c r="BE244" s="658"/>
      <c r="BF244" s="658"/>
      <c r="BG244" s="659"/>
      <c r="BH244" s="658"/>
      <c r="BJ244" s="658"/>
      <c r="BK244" s="658"/>
      <c r="BL244" s="658"/>
      <c r="BM244" s="658"/>
    </row>
    <row r="245" spans="12:65" s="652" customFormat="1" x14ac:dyDescent="0.35">
      <c r="L245" s="654"/>
      <c r="M245" s="654"/>
      <c r="O245" s="654"/>
      <c r="P245" s="655"/>
      <c r="Q245" s="655"/>
      <c r="R245" s="655"/>
      <c r="S245" s="655"/>
      <c r="T245" s="655"/>
      <c r="U245" s="655"/>
      <c r="V245" s="655"/>
      <c r="W245" s="655"/>
      <c r="X245" s="655"/>
      <c r="Y245" s="655"/>
      <c r="AA245" s="656"/>
      <c r="AC245" s="657"/>
      <c r="AD245" s="657"/>
      <c r="AE245" s="657"/>
      <c r="AF245" s="657"/>
      <c r="AI245" s="657"/>
      <c r="AJ245" s="657"/>
      <c r="AK245" s="657"/>
      <c r="AL245" s="657"/>
      <c r="AM245" s="657"/>
      <c r="AN245" s="657"/>
      <c r="AO245" s="657"/>
      <c r="AQ245" s="657"/>
      <c r="AR245" s="657"/>
      <c r="AS245" s="657"/>
      <c r="AT245" s="657"/>
      <c r="AU245" s="654"/>
      <c r="AV245" s="655"/>
      <c r="AW245" s="655"/>
      <c r="AX245" s="655"/>
      <c r="AZ245" s="657"/>
      <c r="BA245" s="657"/>
      <c r="BC245" s="658"/>
      <c r="BD245" s="658"/>
      <c r="BE245" s="658"/>
      <c r="BF245" s="658"/>
      <c r="BG245" s="659"/>
      <c r="BH245" s="658"/>
      <c r="BJ245" s="658"/>
      <c r="BK245" s="658"/>
      <c r="BL245" s="658"/>
      <c r="BM245" s="658"/>
    </row>
    <row r="246" spans="12:65" s="652" customFormat="1" x14ac:dyDescent="0.35">
      <c r="L246" s="654"/>
      <c r="M246" s="654"/>
      <c r="O246" s="654"/>
      <c r="P246" s="655"/>
      <c r="Q246" s="655"/>
      <c r="R246" s="655"/>
      <c r="S246" s="655"/>
      <c r="T246" s="655"/>
      <c r="U246" s="655"/>
      <c r="V246" s="655"/>
      <c r="W246" s="655"/>
      <c r="X246" s="655"/>
      <c r="Y246" s="655"/>
      <c r="AA246" s="656"/>
      <c r="AC246" s="657"/>
      <c r="AD246" s="657"/>
      <c r="AE246" s="657"/>
      <c r="AF246" s="657"/>
      <c r="AI246" s="657"/>
      <c r="AJ246" s="657"/>
      <c r="AK246" s="657"/>
      <c r="AL246" s="657"/>
      <c r="AM246" s="657"/>
      <c r="AN246" s="657"/>
      <c r="AO246" s="657"/>
      <c r="AQ246" s="657"/>
      <c r="AR246" s="657"/>
      <c r="AS246" s="657"/>
      <c r="AT246" s="657"/>
      <c r="AU246" s="654"/>
      <c r="AV246" s="655"/>
      <c r="AW246" s="655"/>
      <c r="AX246" s="655"/>
      <c r="AZ246" s="657"/>
      <c r="BA246" s="657"/>
      <c r="BC246" s="658"/>
      <c r="BD246" s="658"/>
      <c r="BE246" s="658"/>
      <c r="BF246" s="658"/>
      <c r="BG246" s="659"/>
      <c r="BH246" s="658"/>
      <c r="BJ246" s="658"/>
      <c r="BK246" s="658"/>
      <c r="BL246" s="658"/>
      <c r="BM246" s="658"/>
    </row>
    <row r="247" spans="12:65" s="652" customFormat="1" x14ac:dyDescent="0.35">
      <c r="L247" s="654"/>
      <c r="M247" s="654"/>
      <c r="O247" s="654"/>
      <c r="P247" s="655"/>
      <c r="Q247" s="655"/>
      <c r="R247" s="655"/>
      <c r="S247" s="655"/>
      <c r="T247" s="655"/>
      <c r="U247" s="655"/>
      <c r="V247" s="655"/>
      <c r="W247" s="655"/>
      <c r="X247" s="655"/>
      <c r="Y247" s="655"/>
      <c r="AA247" s="656"/>
      <c r="AC247" s="657"/>
      <c r="AD247" s="657"/>
      <c r="AE247" s="657"/>
      <c r="AF247" s="657"/>
      <c r="AI247" s="657"/>
      <c r="AJ247" s="657"/>
      <c r="AK247" s="657"/>
      <c r="AL247" s="657"/>
      <c r="AM247" s="657"/>
      <c r="AN247" s="657"/>
      <c r="AO247" s="657"/>
      <c r="AQ247" s="657"/>
      <c r="AR247" s="657"/>
      <c r="AS247" s="657"/>
      <c r="AT247" s="657"/>
      <c r="AU247" s="654"/>
      <c r="AV247" s="655"/>
      <c r="AW247" s="655"/>
      <c r="AX247" s="655"/>
      <c r="AZ247" s="657"/>
      <c r="BA247" s="657"/>
      <c r="BC247" s="658"/>
      <c r="BD247" s="658"/>
      <c r="BE247" s="658"/>
      <c r="BF247" s="658"/>
      <c r="BG247" s="659"/>
      <c r="BH247" s="658"/>
      <c r="BJ247" s="658"/>
      <c r="BK247" s="658"/>
      <c r="BL247" s="658"/>
      <c r="BM247" s="658"/>
    </row>
    <row r="248" spans="12:65" s="652" customFormat="1" x14ac:dyDescent="0.35">
      <c r="L248" s="654"/>
      <c r="M248" s="654"/>
      <c r="O248" s="654"/>
      <c r="P248" s="655"/>
      <c r="Q248" s="655"/>
      <c r="R248" s="655"/>
      <c r="S248" s="655"/>
      <c r="T248" s="655"/>
      <c r="U248" s="655"/>
      <c r="V248" s="655"/>
      <c r="W248" s="655"/>
      <c r="X248" s="655"/>
      <c r="Y248" s="655"/>
      <c r="AA248" s="656"/>
      <c r="AC248" s="657"/>
      <c r="AD248" s="657"/>
      <c r="AE248" s="657"/>
      <c r="AF248" s="657"/>
      <c r="AI248" s="657"/>
      <c r="AJ248" s="657"/>
      <c r="AK248" s="657"/>
      <c r="AL248" s="657"/>
      <c r="AM248" s="657"/>
      <c r="AN248" s="657"/>
      <c r="AO248" s="657"/>
      <c r="AQ248" s="657"/>
      <c r="AR248" s="657"/>
      <c r="AS248" s="657"/>
      <c r="AT248" s="657"/>
      <c r="AU248" s="654"/>
      <c r="AV248" s="655"/>
      <c r="AW248" s="655"/>
      <c r="AX248" s="655"/>
      <c r="AZ248" s="657"/>
      <c r="BA248" s="657"/>
      <c r="BC248" s="658"/>
      <c r="BD248" s="658"/>
      <c r="BE248" s="658"/>
      <c r="BF248" s="658"/>
      <c r="BG248" s="659"/>
      <c r="BH248" s="658"/>
      <c r="BJ248" s="658"/>
      <c r="BK248" s="658"/>
      <c r="BL248" s="658"/>
      <c r="BM248" s="658"/>
    </row>
  </sheetData>
  <mergeCells count="8">
    <mergeCell ref="E208:H209"/>
    <mergeCell ref="BC1:BS1"/>
    <mergeCell ref="P1:Y1"/>
    <mergeCell ref="AC1:AF1"/>
    <mergeCell ref="AI1:AO1"/>
    <mergeCell ref="AQ1:AT1"/>
    <mergeCell ref="AV1:AX1"/>
    <mergeCell ref="AZ1:BA1"/>
  </mergeCell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8AB68-AA92-4D43-B020-DA24A6B3170D}">
  <dimension ref="A2:K46"/>
  <sheetViews>
    <sheetView workbookViewId="0">
      <selection activeCell="H9" activeCellId="1" sqref="H6 H9"/>
    </sheetView>
  </sheetViews>
  <sheetFormatPr defaultColWidth="9.1796875" defaultRowHeight="12.5" x14ac:dyDescent="0.25"/>
  <cols>
    <col min="1" max="1" width="22.1796875" style="454" customWidth="1"/>
    <col min="2" max="2" width="20.81640625" style="453" customWidth="1"/>
    <col min="3" max="3" width="9.1796875" style="454"/>
    <col min="4" max="7" width="9.1796875" style="453"/>
    <col min="8" max="8" width="9.1796875" style="454"/>
    <col min="9" max="9" width="74.453125" style="454" bestFit="1" customWidth="1"/>
    <col min="10" max="16384" width="9.1796875" style="454"/>
  </cols>
  <sheetData>
    <row r="2" spans="1:11" ht="13" x14ac:dyDescent="0.3">
      <c r="A2" s="452" t="s">
        <v>255</v>
      </c>
      <c r="G2" s="466">
        <f>2054+496+(339*1.47)</f>
        <v>3048.33</v>
      </c>
      <c r="K2" s="466">
        <v>660</v>
      </c>
    </row>
    <row r="3" spans="1:11" x14ac:dyDescent="0.25">
      <c r="A3" s="455"/>
      <c r="K3" s="453"/>
    </row>
    <row r="4" spans="1:11" ht="39" x14ac:dyDescent="0.3">
      <c r="A4" s="456" t="s">
        <v>256</v>
      </c>
      <c r="B4" s="456" t="s">
        <v>257</v>
      </c>
      <c r="C4" s="457"/>
      <c r="D4" s="458" t="s">
        <v>267</v>
      </c>
      <c r="E4" s="458" t="s">
        <v>268</v>
      </c>
      <c r="F4" s="458" t="s">
        <v>269</v>
      </c>
      <c r="G4" s="458" t="s">
        <v>270</v>
      </c>
      <c r="H4" s="458" t="s">
        <v>272</v>
      </c>
      <c r="I4" s="454" t="s">
        <v>273</v>
      </c>
      <c r="K4" s="458" t="s">
        <v>271</v>
      </c>
    </row>
    <row r="5" spans="1:11" x14ac:dyDescent="0.25">
      <c r="A5" s="459" t="s">
        <v>265</v>
      </c>
      <c r="B5" s="459" t="s">
        <v>258</v>
      </c>
      <c r="C5" s="459"/>
      <c r="D5" s="460">
        <f>'Staff Pay Schedule'!N10/10</f>
        <v>2992.7306427692301</v>
      </c>
      <c r="E5" s="460">
        <f>'Staff Pay Schedule'!$N$8/10</f>
        <v>7019.1939840000005</v>
      </c>
      <c r="F5" s="460">
        <f>'Staff Pay Schedule'!$N$16/10</f>
        <v>419.68906206263802</v>
      </c>
      <c r="G5" s="460">
        <f>-$G$2</f>
        <v>-3048.33</v>
      </c>
      <c r="H5" s="460">
        <f>SUM(D5:G5)*0.966</f>
        <v>7132.252043411585</v>
      </c>
      <c r="I5" s="461" t="s">
        <v>264</v>
      </c>
      <c r="K5" s="460">
        <f>-$K$2</f>
        <v>-660</v>
      </c>
    </row>
    <row r="6" spans="1:11" x14ac:dyDescent="0.25">
      <c r="A6" s="530" t="s">
        <v>265</v>
      </c>
      <c r="B6" s="530" t="s">
        <v>258</v>
      </c>
      <c r="C6" s="530"/>
      <c r="D6" s="531">
        <f>'Staff Pay Schedule'!N12/10</f>
        <v>3461.2884996923081</v>
      </c>
      <c r="E6" s="531">
        <f>'Staff Pay Schedule'!$N$8/10</f>
        <v>7019.1939840000005</v>
      </c>
      <c r="F6" s="531">
        <f>'Staff Pay Schedule'!$N$16/10</f>
        <v>419.68906206263802</v>
      </c>
      <c r="G6" s="531">
        <f t="shared" ref="G6:G7" si="0">-$G$2</f>
        <v>-3048.33</v>
      </c>
      <c r="H6" s="531">
        <f t="shared" ref="H6:H7" si="1">SUM(D6:G6)*0.966</f>
        <v>7584.8789331992784</v>
      </c>
      <c r="I6" s="532" t="s">
        <v>360</v>
      </c>
      <c r="K6" s="460">
        <f>-$K$2</f>
        <v>-660</v>
      </c>
    </row>
    <row r="7" spans="1:11" x14ac:dyDescent="0.25">
      <c r="A7" s="459" t="s">
        <v>265</v>
      </c>
      <c r="B7" s="459" t="s">
        <v>258</v>
      </c>
      <c r="C7" s="459"/>
      <c r="D7" s="460">
        <f>'Staff Pay Schedule'!N14/10</f>
        <v>3227.0095712307689</v>
      </c>
      <c r="E7" s="460">
        <f>'Staff Pay Schedule'!$N$8/10</f>
        <v>7019.1939840000005</v>
      </c>
      <c r="F7" s="460">
        <f>'Staff Pay Schedule'!$N$16/10</f>
        <v>419.68906206263802</v>
      </c>
      <c r="G7" s="460">
        <f t="shared" si="0"/>
        <v>-3048.33</v>
      </c>
      <c r="H7" s="460">
        <f t="shared" si="1"/>
        <v>7358.5654883054322</v>
      </c>
      <c r="I7" s="461" t="s">
        <v>266</v>
      </c>
      <c r="K7" s="460">
        <f>-$K$2</f>
        <v>-660</v>
      </c>
    </row>
    <row r="8" spans="1:11" x14ac:dyDescent="0.25">
      <c r="A8" s="453"/>
      <c r="C8" s="453"/>
      <c r="D8" s="466"/>
      <c r="E8" s="466"/>
      <c r="F8" s="466"/>
      <c r="G8" s="466"/>
      <c r="H8" s="466"/>
      <c r="I8" s="467"/>
    </row>
    <row r="9" spans="1:11" x14ac:dyDescent="0.25">
      <c r="A9" s="462" t="s">
        <v>262</v>
      </c>
      <c r="B9" s="462" t="s">
        <v>259</v>
      </c>
      <c r="C9" s="462"/>
      <c r="D9" s="463">
        <f>'Staff Pay Schedule'!N10/10*3.15</f>
        <v>9427.1015247230753</v>
      </c>
      <c r="E9" s="463"/>
      <c r="F9" s="463"/>
      <c r="G9" s="463"/>
      <c r="H9" s="460">
        <f>SUM(D9:G9)*0.966</f>
        <v>9106.5800728824906</v>
      </c>
      <c r="I9" s="454" t="s">
        <v>778</v>
      </c>
    </row>
    <row r="10" spans="1:11" x14ac:dyDescent="0.25">
      <c r="A10" s="464"/>
      <c r="B10" s="464"/>
      <c r="C10" s="464"/>
      <c r="D10" s="447"/>
      <c r="E10" s="447"/>
      <c r="F10" s="447"/>
      <c r="G10" s="447"/>
      <c r="H10" s="447"/>
    </row>
    <row r="11" spans="1:11" x14ac:dyDescent="0.25">
      <c r="A11" s="462" t="s">
        <v>244</v>
      </c>
      <c r="B11" s="462" t="s">
        <v>261</v>
      </c>
      <c r="C11" s="462"/>
      <c r="D11" s="463">
        <f>'Staff Pay Schedule'!N10-'2627 Band Values'!D6-'2627 Band Values'!F6</f>
        <v>26046.328865937357</v>
      </c>
      <c r="E11" s="463"/>
      <c r="F11" s="463"/>
      <c r="G11" s="463"/>
      <c r="H11" s="460">
        <f>SUM(D11:G11)*0.966</f>
        <v>25160.753684495485</v>
      </c>
      <c r="I11" s="454" t="s">
        <v>263</v>
      </c>
    </row>
    <row r="12" spans="1:11" x14ac:dyDescent="0.25">
      <c r="A12" s="464"/>
      <c r="B12" s="464"/>
      <c r="C12" s="464"/>
      <c r="D12" s="447"/>
      <c r="E12" s="447"/>
      <c r="F12" s="447"/>
      <c r="G12" s="447"/>
      <c r="H12" s="447"/>
    </row>
    <row r="13" spans="1:11" x14ac:dyDescent="0.25">
      <c r="A13" s="462" t="s">
        <v>246</v>
      </c>
      <c r="B13" s="462" t="s">
        <v>261</v>
      </c>
      <c r="C13" s="462"/>
      <c r="D13" s="463">
        <f>D11+2000</f>
        <v>28046.328865937357</v>
      </c>
      <c r="E13" s="463"/>
      <c r="F13" s="463"/>
      <c r="G13" s="463"/>
      <c r="H13" s="460">
        <f>SUM(D13:G13)*0.966</f>
        <v>27092.753684495485</v>
      </c>
      <c r="I13" s="454" t="s">
        <v>263</v>
      </c>
    </row>
    <row r="14" spans="1:11" ht="13" x14ac:dyDescent="0.3">
      <c r="A14" s="464"/>
      <c r="B14" s="464"/>
      <c r="C14" s="464"/>
      <c r="D14" s="447"/>
      <c r="E14" s="447"/>
      <c r="F14" s="447"/>
      <c r="G14" s="447"/>
      <c r="H14" s="447"/>
      <c r="I14" s="465"/>
    </row>
    <row r="15" spans="1:11" x14ac:dyDescent="0.25">
      <c r="A15" s="462" t="s">
        <v>412</v>
      </c>
      <c r="B15" s="462" t="s">
        <v>259</v>
      </c>
      <c r="C15" s="462"/>
      <c r="D15" s="463">
        <f>'Staff Pay Schedule'!N10/10*3</f>
        <v>8978.1919283076895</v>
      </c>
      <c r="E15" s="460"/>
      <c r="F15" s="463"/>
      <c r="G15" s="463"/>
      <c r="H15" s="460">
        <f>SUM(D15:G15)*0.966</f>
        <v>8672.9334027452278</v>
      </c>
      <c r="I15" s="454" t="s">
        <v>764</v>
      </c>
    </row>
    <row r="16" spans="1:11" x14ac:dyDescent="0.25">
      <c r="A16" s="464"/>
      <c r="B16" s="464"/>
      <c r="C16" s="464"/>
      <c r="D16" s="447"/>
      <c r="E16" s="466"/>
      <c r="F16" s="447"/>
      <c r="G16" s="447"/>
      <c r="H16" s="466"/>
    </row>
    <row r="17" spans="1:9" x14ac:dyDescent="0.25">
      <c r="A17" s="462" t="s">
        <v>412</v>
      </c>
      <c r="B17" s="462" t="s">
        <v>259</v>
      </c>
      <c r="C17" s="462"/>
      <c r="D17" s="463">
        <f>'Staff Pay Schedule'!N10/8*3</f>
        <v>11222.739910384615</v>
      </c>
      <c r="E17" s="460">
        <f>'Staff Pay Schedule'!$N$8/8</f>
        <v>8773.9924800000008</v>
      </c>
      <c r="F17" s="460">
        <f>'Staff Pay Schedule'!$N$16/10</f>
        <v>419.68906206263802</v>
      </c>
      <c r="G17" s="460">
        <f t="shared" ref="G17" si="2">-$G$2</f>
        <v>-3048.33</v>
      </c>
      <c r="H17" s="460">
        <f>SUM(D17:G17)*0.966</f>
        <v>16777.576343064047</v>
      </c>
      <c r="I17" s="454" t="s">
        <v>765</v>
      </c>
    </row>
    <row r="18" spans="1:9" ht="13" x14ac:dyDescent="0.3">
      <c r="A18" s="464"/>
      <c r="B18" s="464"/>
      <c r="C18" s="464"/>
      <c r="D18" s="447"/>
      <c r="E18" s="466"/>
      <c r="F18" s="466"/>
      <c r="G18" s="466"/>
      <c r="H18" s="466">
        <f>H17-H6</f>
        <v>9192.6974098647697</v>
      </c>
      <c r="I18" s="644">
        <f>H18-H15</f>
        <v>519.76400711954193</v>
      </c>
    </row>
    <row r="19" spans="1:9" ht="13" x14ac:dyDescent="0.3">
      <c r="A19" s="464"/>
      <c r="B19" s="464"/>
      <c r="C19" s="464"/>
      <c r="D19" s="447"/>
      <c r="E19" s="466"/>
      <c r="F19" s="466"/>
      <c r="G19" s="466"/>
      <c r="H19" s="466"/>
      <c r="I19" s="644">
        <f>H9+H6</f>
        <v>16691.459006081768</v>
      </c>
    </row>
    <row r="20" spans="1:9" ht="13" x14ac:dyDescent="0.3">
      <c r="A20" s="464"/>
      <c r="B20" s="464"/>
      <c r="C20" s="464"/>
      <c r="D20" s="447"/>
      <c r="E20" s="466"/>
      <c r="F20" s="466"/>
      <c r="G20" s="466"/>
      <c r="H20" s="466"/>
      <c r="I20" s="644">
        <f>H17-I19</f>
        <v>86.117336982279085</v>
      </c>
    </row>
    <row r="21" spans="1:9" ht="13" x14ac:dyDescent="0.3">
      <c r="A21" s="651" t="s">
        <v>771</v>
      </c>
      <c r="B21" s="464"/>
      <c r="C21" s="464"/>
      <c r="D21" s="463">
        <f>'Staff Pay Schedule'!N10/8</f>
        <v>3740.9133034615379</v>
      </c>
      <c r="E21" s="460">
        <f>'Staff Pay Schedule'!$N$8/8</f>
        <v>8773.9924800000008</v>
      </c>
      <c r="F21" s="460">
        <f>F6</f>
        <v>419.68906206263802</v>
      </c>
      <c r="G21" s="460">
        <f>G6</f>
        <v>-3048.33</v>
      </c>
      <c r="H21" s="531">
        <f t="shared" ref="H21:H22" si="3">SUM(D21:G21)*0.966</f>
        <v>9550.1318407763538</v>
      </c>
      <c r="I21" s="644" t="s">
        <v>773</v>
      </c>
    </row>
    <row r="22" spans="1:9" x14ac:dyDescent="0.25">
      <c r="A22" s="651" t="s">
        <v>772</v>
      </c>
      <c r="D22" s="463">
        <f>'Staff Pay Schedule'!N10/8*2</f>
        <v>7481.8266069230758</v>
      </c>
      <c r="E22" s="460">
        <f>'Staff Pay Schedule'!$N$8/8</f>
        <v>8773.9924800000008</v>
      </c>
      <c r="F22" s="460">
        <f>F6</f>
        <v>419.68906206263802</v>
      </c>
      <c r="G22" s="460">
        <f>G6</f>
        <v>-3048.33</v>
      </c>
      <c r="H22" s="531">
        <f t="shared" si="3"/>
        <v>13163.854091920201</v>
      </c>
    </row>
    <row r="23" spans="1:9" x14ac:dyDescent="0.25">
      <c r="A23" s="556"/>
    </row>
    <row r="24" spans="1:9" x14ac:dyDescent="0.25">
      <c r="A24" s="934" t="s">
        <v>387</v>
      </c>
      <c r="B24" s="934"/>
      <c r="C24" s="934"/>
      <c r="D24" s="934"/>
      <c r="E24" s="934"/>
      <c r="F24" s="934"/>
      <c r="G24" s="934"/>
      <c r="H24" s="934"/>
      <c r="I24" s="934"/>
    </row>
    <row r="25" spans="1:9" x14ac:dyDescent="0.25">
      <c r="A25" s="934"/>
      <c r="B25" s="934"/>
      <c r="C25" s="934"/>
      <c r="D25" s="934"/>
      <c r="E25" s="934"/>
      <c r="F25" s="934"/>
      <c r="G25" s="934"/>
      <c r="H25" s="934"/>
      <c r="I25" s="934"/>
    </row>
    <row r="27" spans="1:9" ht="37.5" x14ac:dyDescent="0.25">
      <c r="D27" s="552" t="s">
        <v>393</v>
      </c>
      <c r="E27" s="466"/>
      <c r="F27" s="466"/>
      <c r="G27" s="466"/>
    </row>
    <row r="28" spans="1:9" x14ac:dyDescent="0.25">
      <c r="C28" s="553" t="s">
        <v>392</v>
      </c>
      <c r="D28" s="549">
        <v>7811.8122977549465</v>
      </c>
      <c r="E28" s="549">
        <f>D28*0.966</f>
        <v>7546.2106796312783</v>
      </c>
      <c r="H28" s="548"/>
    </row>
    <row r="29" spans="1:9" x14ac:dyDescent="0.25">
      <c r="C29" s="553" t="s">
        <v>391</v>
      </c>
      <c r="D29" s="549">
        <v>5323.7826221170644</v>
      </c>
      <c r="E29" s="549">
        <v>5323.7826221170644</v>
      </c>
      <c r="F29" s="466"/>
      <c r="G29" s="466"/>
    </row>
    <row r="30" spans="1:9" x14ac:dyDescent="0.25">
      <c r="C30" s="553"/>
      <c r="D30" s="550">
        <v>13135.594919872012</v>
      </c>
      <c r="E30" s="550">
        <f>SUM(E28:E29)</f>
        <v>12869.993301748342</v>
      </c>
    </row>
    <row r="31" spans="1:9" x14ac:dyDescent="0.25">
      <c r="C31" s="553"/>
      <c r="D31" s="549"/>
      <c r="E31" s="549"/>
    </row>
    <row r="32" spans="1:9" x14ac:dyDescent="0.25">
      <c r="C32" s="553" t="s">
        <v>244</v>
      </c>
      <c r="D32" s="549">
        <v>29927.306427692303</v>
      </c>
      <c r="E32" s="549"/>
    </row>
    <row r="33" spans="3:8" x14ac:dyDescent="0.25">
      <c r="C33" s="553" t="s">
        <v>394</v>
      </c>
      <c r="D33" s="549">
        <f>-(D6+F6)</f>
        <v>-3880.9775617549462</v>
      </c>
      <c r="E33" s="549"/>
    </row>
    <row r="34" spans="3:8" x14ac:dyDescent="0.25">
      <c r="D34" s="550">
        <f>SUM(D32:D33)</f>
        <v>26046.328865937357</v>
      </c>
      <c r="E34" s="549">
        <f>D34*0.966</f>
        <v>25160.753684495485</v>
      </c>
      <c r="H34" s="548"/>
    </row>
    <row r="35" spans="3:8" x14ac:dyDescent="0.25">
      <c r="E35" s="549"/>
    </row>
    <row r="36" spans="3:8" x14ac:dyDescent="0.25">
      <c r="D36" s="551">
        <v>29181.923785809369</v>
      </c>
      <c r="E36" s="551">
        <f>E30+E34-10000</f>
        <v>28030.74698624383</v>
      </c>
    </row>
    <row r="38" spans="3:8" x14ac:dyDescent="0.25">
      <c r="C38" s="553" t="s">
        <v>395</v>
      </c>
      <c r="D38" s="549">
        <f>-(E6+G6)*25%</f>
        <v>-992.71599600000013</v>
      </c>
      <c r="E38" s="549">
        <f>(D34+D38)*0.966</f>
        <v>24201.790032359488</v>
      </c>
    </row>
    <row r="39" spans="3:8" x14ac:dyDescent="0.25">
      <c r="D39" s="549">
        <f>D36+D38</f>
        <v>28189.20778980937</v>
      </c>
      <c r="E39" s="549">
        <f>E30+E38-10000</f>
        <v>27071.783334107829</v>
      </c>
      <c r="F39" s="549">
        <f>E39-E36</f>
        <v>-958.96365213600075</v>
      </c>
    </row>
    <row r="40" spans="3:8" x14ac:dyDescent="0.25">
      <c r="F40" s="466"/>
    </row>
    <row r="41" spans="3:8" x14ac:dyDescent="0.25">
      <c r="D41" s="549"/>
      <c r="F41" s="549"/>
    </row>
    <row r="42" spans="3:8" x14ac:dyDescent="0.25">
      <c r="D42" s="463">
        <f>'Staff Pay Schedule'!N30/8*3</f>
        <v>12944.726264672037</v>
      </c>
      <c r="E42" s="460">
        <f>('Staff Pay Schedule'!$N$8/8)</f>
        <v>8773.9924800000008</v>
      </c>
      <c r="F42" s="460">
        <f>'Staff Pay Schedule'!$N$16/10</f>
        <v>419.68906206263802</v>
      </c>
      <c r="G42" s="460">
        <f t="shared" ref="G42" si="4">-$G$2</f>
        <v>-3048.33</v>
      </c>
      <c r="H42" s="460">
        <f>SUM(D42:G42)*0.966</f>
        <v>18441.015161305695</v>
      </c>
    </row>
    <row r="43" spans="3:8" x14ac:dyDescent="0.25">
      <c r="D43" s="549"/>
    </row>
    <row r="44" spans="3:8" x14ac:dyDescent="0.25">
      <c r="D44" s="549"/>
    </row>
    <row r="45" spans="3:8" x14ac:dyDescent="0.25">
      <c r="D45" s="549"/>
    </row>
    <row r="46" spans="3:8" x14ac:dyDescent="0.25">
      <c r="D46" s="549"/>
    </row>
  </sheetData>
  <mergeCells count="1">
    <mergeCell ref="A24:I25"/>
  </mergeCells>
  <phoneticPr fontId="55"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B3919-A34F-4B6A-B2EB-A0879D0D7FBB}">
  <sheetPr>
    <tabColor rgb="FF92D050"/>
  </sheetPr>
  <dimension ref="A1:AP24"/>
  <sheetViews>
    <sheetView workbookViewId="0">
      <selection activeCell="U6" sqref="U6:U22"/>
    </sheetView>
  </sheetViews>
  <sheetFormatPr defaultColWidth="10.1796875" defaultRowHeight="12.5" x14ac:dyDescent="0.25"/>
  <cols>
    <col min="1" max="1" width="9.1796875" style="475" customWidth="1"/>
    <col min="2" max="2" width="26.81640625" style="475" customWidth="1"/>
    <col min="3" max="3" width="12.1796875" style="475" customWidth="1"/>
    <col min="4" max="4" width="16.453125" style="475" customWidth="1"/>
    <col min="5" max="5" width="12.81640625" style="475" customWidth="1"/>
    <col min="6" max="6" width="14.54296875" style="475" customWidth="1"/>
    <col min="7" max="7" width="13.1796875" style="475" customWidth="1"/>
    <col min="8" max="8" width="13" style="476" customWidth="1"/>
    <col min="9" max="9" width="12.81640625" style="476" customWidth="1"/>
    <col min="10" max="12" width="12.1796875" style="475" customWidth="1"/>
    <col min="13" max="15" width="11.1796875" style="475" customWidth="1"/>
    <col min="16" max="16" width="10.453125" style="475" customWidth="1"/>
    <col min="17" max="17" width="0.81640625" style="475" customWidth="1"/>
    <col min="18" max="18" width="11.1796875" style="475" customWidth="1"/>
    <col min="19" max="19" width="0.81640625" style="475" customWidth="1"/>
    <col min="20" max="20" width="10.54296875" style="475" bestFit="1" customWidth="1"/>
    <col min="21" max="21" width="12.453125" style="475" customWidth="1"/>
    <col min="22" max="24" width="10.7265625" style="475" customWidth="1"/>
    <col min="25" max="25" width="1.1796875" style="475" customWidth="1"/>
    <col min="26" max="26" width="10" style="475" customWidth="1"/>
    <col min="27" max="27" width="11.453125" style="475" customWidth="1"/>
    <col min="28" max="28" width="10.54296875" style="475" bestFit="1" customWidth="1"/>
    <col min="29" max="29" width="10.1796875" style="475"/>
    <col min="30" max="30" width="15" style="475" customWidth="1"/>
    <col min="31" max="31" width="14.1796875" style="475" customWidth="1"/>
    <col min="32" max="35" width="10.1796875" style="475"/>
    <col min="36" max="36" width="14.81640625" style="476" customWidth="1"/>
    <col min="37" max="37" width="13.1796875" style="476" customWidth="1"/>
    <col min="38" max="39" width="10.1796875" style="475"/>
    <col min="40" max="40" width="19" style="476" bestFit="1" customWidth="1"/>
    <col min="41" max="41" width="16.81640625" style="476" customWidth="1"/>
    <col min="42" max="42" width="10.1796875" style="476"/>
    <col min="43" max="16384" width="10.1796875" style="475"/>
  </cols>
  <sheetData>
    <row r="1" spans="1:42" x14ac:dyDescent="0.25">
      <c r="A1" s="474" t="s">
        <v>275</v>
      </c>
      <c r="AJ1" s="475"/>
      <c r="AK1" s="475"/>
      <c r="AN1" s="475"/>
      <c r="AO1" s="475"/>
      <c r="AP1" s="475"/>
    </row>
    <row r="2" spans="1:42" ht="13" x14ac:dyDescent="0.3">
      <c r="A2" s="474"/>
      <c r="D2" s="477"/>
      <c r="L2" s="475" t="s">
        <v>276</v>
      </c>
      <c r="T2" s="475" t="s">
        <v>785</v>
      </c>
      <c r="AJ2" s="475"/>
      <c r="AK2" s="475"/>
      <c r="AN2" s="475"/>
      <c r="AO2" s="475"/>
      <c r="AP2" s="475"/>
    </row>
    <row r="3" spans="1:42" x14ac:dyDescent="0.25">
      <c r="A3" s="474" t="s">
        <v>138</v>
      </c>
      <c r="J3" s="474"/>
      <c r="L3" s="475" t="s">
        <v>277</v>
      </c>
      <c r="AJ3" s="475"/>
      <c r="AK3" s="475"/>
      <c r="AN3" s="475"/>
      <c r="AO3" s="475"/>
      <c r="AP3" s="475"/>
    </row>
    <row r="4" spans="1:42" ht="14.5" customHeight="1" x14ac:dyDescent="0.25">
      <c r="B4" s="478"/>
      <c r="K4" s="927" t="s">
        <v>232</v>
      </c>
      <c r="L4" s="927"/>
      <c r="M4" s="927"/>
      <c r="N4" s="927"/>
      <c r="O4" s="927"/>
      <c r="P4" s="927"/>
      <c r="Q4" s="927"/>
      <c r="R4" s="927"/>
      <c r="T4" s="928" t="s">
        <v>366</v>
      </c>
      <c r="U4" s="928"/>
      <c r="W4" s="491">
        <v>0.05</v>
      </c>
      <c r="X4" s="491"/>
      <c r="AJ4" s="475"/>
      <c r="AK4" s="475"/>
      <c r="AN4" s="475"/>
      <c r="AO4" s="475"/>
      <c r="AP4" s="475"/>
    </row>
    <row r="5" spans="1:42" ht="25" x14ac:dyDescent="0.25">
      <c r="A5" s="479" t="s">
        <v>278</v>
      </c>
      <c r="B5" s="480" t="s">
        <v>279</v>
      </c>
      <c r="C5" s="476" t="s">
        <v>280</v>
      </c>
      <c r="D5" s="476" t="s">
        <v>281</v>
      </c>
      <c r="E5" s="476" t="s">
        <v>282</v>
      </c>
      <c r="F5" s="476" t="s">
        <v>283</v>
      </c>
      <c r="G5" s="476" t="s">
        <v>284</v>
      </c>
      <c r="H5" s="476" t="s">
        <v>285</v>
      </c>
      <c r="I5" s="476" t="s">
        <v>286</v>
      </c>
      <c r="J5" s="481" t="s">
        <v>804</v>
      </c>
      <c r="K5" s="481" t="s">
        <v>288</v>
      </c>
      <c r="L5" s="481" t="s">
        <v>289</v>
      </c>
      <c r="M5" s="481" t="s">
        <v>290</v>
      </c>
      <c r="N5" s="481" t="s">
        <v>291</v>
      </c>
      <c r="O5" s="481" t="s">
        <v>292</v>
      </c>
      <c r="P5" s="481" t="s">
        <v>293</v>
      </c>
      <c r="R5" s="476" t="s">
        <v>27</v>
      </c>
      <c r="T5" s="481" t="s">
        <v>292</v>
      </c>
      <c r="U5" s="476" t="s">
        <v>27</v>
      </c>
      <c r="W5" s="481" t="s">
        <v>410</v>
      </c>
      <c r="X5" s="481"/>
      <c r="AJ5" s="475"/>
      <c r="AK5" s="475"/>
      <c r="AN5" s="475"/>
      <c r="AO5" s="475"/>
      <c r="AP5" s="475"/>
    </row>
    <row r="6" spans="1:42" x14ac:dyDescent="0.25">
      <c r="A6" s="482">
        <v>9257010</v>
      </c>
      <c r="B6" s="480" t="s">
        <v>294</v>
      </c>
      <c r="C6" s="483">
        <v>7.8431372549019607E-2</v>
      </c>
      <c r="D6" s="483">
        <v>0.37908496732026142</v>
      </c>
      <c r="E6" s="483">
        <v>2.6143790849673203E-2</v>
      </c>
      <c r="F6" s="483">
        <v>0.24836601307189543</v>
      </c>
      <c r="G6" s="483">
        <v>5.2287581699346407E-2</v>
      </c>
      <c r="H6" s="483">
        <v>0.12418300653594772</v>
      </c>
      <c r="I6" s="483">
        <v>9.1503267973856203E-2</v>
      </c>
      <c r="J6" s="484">
        <v>156.83333333333334</v>
      </c>
      <c r="K6" s="485">
        <f>(SUM(C6:D6))*J6</f>
        <v>71.753812636165577</v>
      </c>
      <c r="L6" s="486">
        <f>K6*Summary!$B$18</f>
        <v>212110.07039202773</v>
      </c>
      <c r="M6" s="485">
        <f>(SUM(E6:H6))*J6</f>
        <v>70.72875816993465</v>
      </c>
      <c r="N6" s="486">
        <f>M6*Summary!$B$19</f>
        <v>853177.02625933604</v>
      </c>
      <c r="O6" s="485">
        <f>(SUM(I6))*J6</f>
        <v>14.350762527233115</v>
      </c>
      <c r="P6" s="487">
        <f>O6*Summary!$B$21</f>
        <v>431223.68841342028</v>
      </c>
      <c r="Q6" s="488"/>
      <c r="R6" s="487">
        <f>L6+N6+P6</f>
        <v>1496510.7850647839</v>
      </c>
      <c r="S6" s="488"/>
      <c r="T6" s="487">
        <f>(O6*Summary!$B$25)</f>
        <v>403498.01521080587</v>
      </c>
      <c r="U6" s="487">
        <f>L6+N6+T6</f>
        <v>1468785.1118621696</v>
      </c>
      <c r="V6" s="573">
        <f>(D6*J6)</f>
        <v>59.453159041394336</v>
      </c>
      <c r="W6" s="574">
        <f>(V6*$W$4)*(Summary!$B$19-Summary!$B$18)</f>
        <v>27070.747669813762</v>
      </c>
      <c r="X6" s="487"/>
      <c r="Y6" s="489"/>
      <c r="Z6" s="489"/>
      <c r="AJ6" s="475"/>
      <c r="AK6" s="475"/>
      <c r="AN6" s="475"/>
      <c r="AO6" s="475"/>
      <c r="AP6" s="475"/>
    </row>
    <row r="7" spans="1:42" ht="12.75" customHeight="1" x14ac:dyDescent="0.25">
      <c r="A7" s="482">
        <v>9257005</v>
      </c>
      <c r="B7" s="480" t="s">
        <v>198</v>
      </c>
      <c r="C7" s="483">
        <v>8.9743589743589744E-2</v>
      </c>
      <c r="D7" s="483">
        <v>0.45299145299145299</v>
      </c>
      <c r="E7" s="483">
        <v>0.10256410256410256</v>
      </c>
      <c r="F7" s="483">
        <v>0.10683760683760683</v>
      </c>
      <c r="G7" s="483">
        <v>4.2735042735042736E-2</v>
      </c>
      <c r="H7" s="483">
        <v>0.13675213675213677</v>
      </c>
      <c r="I7" s="483">
        <v>6.8376068376068383E-2</v>
      </c>
      <c r="J7" s="484">
        <v>257</v>
      </c>
      <c r="K7" s="485">
        <f t="shared" ref="K7:K21" si="0">(SUM(C7:D7))*J7</f>
        <v>139.48290598290598</v>
      </c>
      <c r="L7" s="486">
        <f>K7*Summary!$B$18</f>
        <v>412322.74522520474</v>
      </c>
      <c r="M7" s="485">
        <f t="shared" ref="M7:M21" si="1">(SUM(E7:H7))*J7</f>
        <v>99.944444444444443</v>
      </c>
      <c r="N7" s="486">
        <f>M7*Summary!$B$19</f>
        <v>1205595.9429879994</v>
      </c>
      <c r="O7" s="485">
        <f t="shared" ref="O7:O21" si="2">(SUM(I7))*J7</f>
        <v>17.572649572649574</v>
      </c>
      <c r="P7" s="487">
        <f>O7*Summary!$B$21</f>
        <v>528037.63908254716</v>
      </c>
      <c r="Q7" s="488"/>
      <c r="R7" s="487">
        <f t="shared" ref="R7:R21" si="3">L7+N7+P7</f>
        <v>2145956.3272957513</v>
      </c>
      <c r="S7" s="488"/>
      <c r="T7" s="487">
        <f>(O7*Summary!$B$25)</f>
        <v>494087.28010818822</v>
      </c>
      <c r="U7" s="487">
        <f>L7+N7+T7</f>
        <v>2112005.9683213923</v>
      </c>
      <c r="V7" s="573">
        <f t="shared" ref="V7:V21" si="4">(D7*J7)</f>
        <v>116.41880341880342</v>
      </c>
      <c r="W7" s="574">
        <f>(V7*$W$4)*(Summary!$B$19-Summary!$B$18)</f>
        <v>53008.857766124966</v>
      </c>
      <c r="X7" s="487"/>
      <c r="AJ7" s="475"/>
      <c r="AK7" s="475"/>
      <c r="AN7" s="475"/>
      <c r="AO7" s="475"/>
      <c r="AP7" s="475"/>
    </row>
    <row r="8" spans="1:42" ht="12.75" customHeight="1" x14ac:dyDescent="0.25">
      <c r="A8" s="482">
        <v>9257025</v>
      </c>
      <c r="B8" s="480" t="s">
        <v>295</v>
      </c>
      <c r="C8" s="483">
        <v>3.8095238095238099E-2</v>
      </c>
      <c r="D8" s="483">
        <v>0.52380952380952384</v>
      </c>
      <c r="E8" s="483">
        <v>2.8571428571428571E-2</v>
      </c>
      <c r="F8" s="483">
        <v>0.2857142857142857</v>
      </c>
      <c r="G8" s="483">
        <v>2.8571428571428571E-2</v>
      </c>
      <c r="H8" s="483">
        <v>4.7619047619047616E-2</v>
      </c>
      <c r="I8" s="483">
        <v>4.7619047619047616E-2</v>
      </c>
      <c r="J8" s="484">
        <v>110</v>
      </c>
      <c r="K8" s="485">
        <f t="shared" si="0"/>
        <v>61.80952380952381</v>
      </c>
      <c r="L8" s="486">
        <f>K8*Summary!$B$18</f>
        <v>182713.9487711048</v>
      </c>
      <c r="M8" s="485">
        <f t="shared" si="1"/>
        <v>42.952380952380949</v>
      </c>
      <c r="N8" s="486">
        <f>M8*Summary!$B$19</f>
        <v>518120.00662678096</v>
      </c>
      <c r="O8" s="485">
        <f t="shared" si="2"/>
        <v>5.2380952380952381</v>
      </c>
      <c r="P8" s="487">
        <f>O8*Summary!$B$21</f>
        <v>157398.65700834681</v>
      </c>
      <c r="Q8" s="488"/>
      <c r="R8" s="487">
        <f t="shared" si="3"/>
        <v>858232.61240623263</v>
      </c>
      <c r="S8" s="488"/>
      <c r="T8" s="487">
        <f>(O8*Summary!$B$25)</f>
        <v>147278.65700834681</v>
      </c>
      <c r="U8" s="487">
        <f t="shared" ref="U8:U21" si="5">L8+N8+T8</f>
        <v>848112.61240623263</v>
      </c>
      <c r="V8" s="573">
        <f t="shared" si="4"/>
        <v>57.61904761904762</v>
      </c>
      <c r="W8" s="574">
        <f>(V8*$W$4)*(Summary!$B$19-Summary!$B$18)</f>
        <v>26235.623543304322</v>
      </c>
      <c r="X8" s="487"/>
      <c r="AJ8" s="475"/>
      <c r="AK8" s="475"/>
      <c r="AN8" s="475"/>
      <c r="AO8" s="475"/>
      <c r="AP8" s="475"/>
    </row>
    <row r="9" spans="1:42" x14ac:dyDescent="0.25">
      <c r="A9" s="482">
        <v>9257024</v>
      </c>
      <c r="B9" s="480" t="s">
        <v>296</v>
      </c>
      <c r="C9" s="483">
        <v>0.11881188118811881</v>
      </c>
      <c r="D9" s="483">
        <v>0.58415841584158412</v>
      </c>
      <c r="E9" s="483">
        <v>1.9801980198019802E-2</v>
      </c>
      <c r="F9" s="483">
        <v>0.13861386138613863</v>
      </c>
      <c r="G9" s="483">
        <v>4.9504950495049507E-2</v>
      </c>
      <c r="H9" s="483">
        <v>2.9702970297029702E-2</v>
      </c>
      <c r="I9" s="483">
        <v>5.9405940594059403E-2</v>
      </c>
      <c r="J9" s="484">
        <v>108.83333333333334</v>
      </c>
      <c r="K9" s="485">
        <f t="shared" si="0"/>
        <v>76.506600660066013</v>
      </c>
      <c r="L9" s="486">
        <f>K9*Summary!$B$18</f>
        <v>226159.69598362726</v>
      </c>
      <c r="M9" s="485">
        <f t="shared" si="1"/>
        <v>25.861386138613867</v>
      </c>
      <c r="N9" s="486">
        <f>M9*Summary!$B$19</f>
        <v>311957.13160514802</v>
      </c>
      <c r="O9" s="485">
        <f t="shared" si="2"/>
        <v>6.4653465346534658</v>
      </c>
      <c r="P9" s="487">
        <f>O9*Summary!$B$21</f>
        <v>194276.12813280468</v>
      </c>
      <c r="Q9" s="488"/>
      <c r="R9" s="487">
        <f t="shared" si="3"/>
        <v>732392.95572157996</v>
      </c>
      <c r="S9" s="488"/>
      <c r="T9" s="487">
        <f>(O9*Summary!$B$25)</f>
        <v>181785.07862785418</v>
      </c>
      <c r="U9" s="487">
        <f t="shared" si="5"/>
        <v>719901.90621662955</v>
      </c>
      <c r="V9" s="573">
        <f t="shared" si="4"/>
        <v>63.57590759075908</v>
      </c>
      <c r="W9" s="574">
        <f>(V9*$W$4)*(Summary!$B$19-Summary!$B$18)</f>
        <v>28947.954659071267</v>
      </c>
      <c r="X9" s="487"/>
      <c r="AJ9" s="475"/>
      <c r="AK9" s="475"/>
      <c r="AN9" s="475"/>
      <c r="AO9" s="475"/>
      <c r="AP9" s="475"/>
    </row>
    <row r="10" spans="1:42" ht="12.75" customHeight="1" x14ac:dyDescent="0.25">
      <c r="A10" s="482">
        <v>9257031</v>
      </c>
      <c r="B10" s="480" t="s">
        <v>297</v>
      </c>
      <c r="C10" s="483">
        <v>0</v>
      </c>
      <c r="D10" s="483">
        <v>0</v>
      </c>
      <c r="E10" s="483">
        <v>1</v>
      </c>
      <c r="F10" s="483">
        <v>0</v>
      </c>
      <c r="G10" s="483">
        <v>0</v>
      </c>
      <c r="H10" s="483">
        <v>0</v>
      </c>
      <c r="I10" s="483">
        <v>0</v>
      </c>
      <c r="J10" s="484">
        <v>80.583333333333343</v>
      </c>
      <c r="K10" s="575">
        <f>(SUM(C10:D10))*J10</f>
        <v>0</v>
      </c>
      <c r="L10" s="576">
        <f>K10*Summary!$B$18</f>
        <v>0</v>
      </c>
      <c r="M10" s="575">
        <f t="shared" si="1"/>
        <v>80.583333333333343</v>
      </c>
      <c r="N10" s="576">
        <f>M10*Summary!$B$54</f>
        <v>1203071.5142716824</v>
      </c>
      <c r="O10" s="575">
        <f t="shared" si="2"/>
        <v>0</v>
      </c>
      <c r="P10" s="577">
        <f>O10*Summary!$B$21</f>
        <v>0</v>
      </c>
      <c r="Q10" s="578"/>
      <c r="R10" s="577">
        <f t="shared" si="3"/>
        <v>1203071.5142716824</v>
      </c>
      <c r="S10" s="578"/>
      <c r="T10" s="577">
        <f>(O10*Summary!$B$25)</f>
        <v>0</v>
      </c>
      <c r="U10" s="577">
        <f t="shared" si="5"/>
        <v>1203071.5142716824</v>
      </c>
      <c r="V10" s="579">
        <f t="shared" si="4"/>
        <v>0</v>
      </c>
      <c r="W10" s="574">
        <f>(V10*$W$4)*(Summary!$B$19-Summary!$B$18)</f>
        <v>0</v>
      </c>
      <c r="X10" s="487"/>
      <c r="AJ10" s="475"/>
      <c r="AK10" s="475"/>
      <c r="AN10" s="475"/>
      <c r="AO10" s="475"/>
      <c r="AP10" s="475"/>
    </row>
    <row r="11" spans="1:42" x14ac:dyDescent="0.25">
      <c r="A11" s="482">
        <v>9257033</v>
      </c>
      <c r="B11" s="480" t="s">
        <v>298</v>
      </c>
      <c r="C11" s="483">
        <v>1.7094017094017096E-2</v>
      </c>
      <c r="D11" s="483">
        <v>0.60683760683760679</v>
      </c>
      <c r="E11" s="483">
        <v>1.7094017094017096E-2</v>
      </c>
      <c r="F11" s="483">
        <v>0.23931623931623933</v>
      </c>
      <c r="G11" s="483">
        <v>0</v>
      </c>
      <c r="H11" s="483">
        <v>5.9829059829059832E-2</v>
      </c>
      <c r="I11" s="483">
        <v>5.9829059829059832E-2</v>
      </c>
      <c r="J11" s="484">
        <v>122.41666666666669</v>
      </c>
      <c r="K11" s="485">
        <f t="shared" si="0"/>
        <v>76.379629629629648</v>
      </c>
      <c r="L11" s="486">
        <f>K11*Summary!$B$18</f>
        <v>225784.35935391858</v>
      </c>
      <c r="M11" s="485">
        <f t="shared" si="1"/>
        <v>38.712962962962976</v>
      </c>
      <c r="N11" s="486">
        <f>M11*Summary!$B$19</f>
        <v>466981.34497246868</v>
      </c>
      <c r="O11" s="485">
        <f t="shared" si="2"/>
        <v>7.3240740740740753</v>
      </c>
      <c r="P11" s="487">
        <f>O11*Summary!$B$21</f>
        <v>220079.88986242839</v>
      </c>
      <c r="Q11" s="488"/>
      <c r="R11" s="487">
        <f t="shared" si="3"/>
        <v>912845.59418881568</v>
      </c>
      <c r="S11" s="488"/>
      <c r="T11" s="487">
        <f>(O11*Summary!$B$25)</f>
        <v>205929.7787513173</v>
      </c>
      <c r="U11" s="487">
        <f t="shared" si="5"/>
        <v>898695.48307770456</v>
      </c>
      <c r="V11" s="573">
        <f t="shared" si="4"/>
        <v>74.287037037037038</v>
      </c>
      <c r="W11" s="574">
        <f>(V11*$W$4)*(Summary!$B$19-Summary!$B$18)</f>
        <v>33825.042557748253</v>
      </c>
      <c r="X11" s="487"/>
      <c r="AJ11" s="475"/>
      <c r="AK11" s="475"/>
      <c r="AN11" s="475"/>
      <c r="AO11" s="475"/>
      <c r="AP11" s="475"/>
    </row>
    <row r="12" spans="1:42" x14ac:dyDescent="0.25">
      <c r="A12" s="482">
        <v>9257008</v>
      </c>
      <c r="B12" s="480" t="s">
        <v>299</v>
      </c>
      <c r="C12" s="483">
        <v>0.04</v>
      </c>
      <c r="D12" s="483">
        <v>0.6</v>
      </c>
      <c r="E12" s="483">
        <v>0.02</v>
      </c>
      <c r="F12" s="483">
        <v>0.25</v>
      </c>
      <c r="G12" s="483">
        <v>0</v>
      </c>
      <c r="H12" s="483">
        <v>0.08</v>
      </c>
      <c r="I12" s="483">
        <v>0.01</v>
      </c>
      <c r="J12" s="484">
        <v>101</v>
      </c>
      <c r="K12" s="485">
        <f t="shared" si="0"/>
        <v>64.64</v>
      </c>
      <c r="L12" s="486">
        <f>K12*Summary!$B$18</f>
        <v>191081.06519248729</v>
      </c>
      <c r="M12" s="485">
        <f t="shared" si="1"/>
        <v>35.35</v>
      </c>
      <c r="N12" s="486">
        <f>M12*Summary!$B$19</f>
        <v>426415.06310353754</v>
      </c>
      <c r="O12" s="485">
        <f t="shared" si="2"/>
        <v>1.01</v>
      </c>
      <c r="P12" s="487">
        <f>O12*Summary!$B$21</f>
        <v>30349.322864973055</v>
      </c>
      <c r="Q12" s="488"/>
      <c r="R12" s="487">
        <f t="shared" si="3"/>
        <v>647845.45116099797</v>
      </c>
      <c r="S12" s="488"/>
      <c r="T12" s="487">
        <f>(O12*Summary!$B$25)</f>
        <v>28398.002864973052</v>
      </c>
      <c r="U12" s="487">
        <f t="shared" si="5"/>
        <v>645894.1311609979</v>
      </c>
      <c r="V12" s="573">
        <f t="shared" si="4"/>
        <v>60.599999999999994</v>
      </c>
      <c r="W12" s="574">
        <f>(V12*$W$4)*(Summary!$B$19-Summary!$B$18)</f>
        <v>27592.937620833945</v>
      </c>
      <c r="X12" s="487"/>
      <c r="AJ12" s="475"/>
      <c r="AK12" s="475"/>
      <c r="AN12" s="475"/>
      <c r="AO12" s="475"/>
      <c r="AP12" s="475"/>
    </row>
    <row r="13" spans="1:42" x14ac:dyDescent="0.25">
      <c r="A13" s="482">
        <v>9257034</v>
      </c>
      <c r="B13" s="480" t="s">
        <v>300</v>
      </c>
      <c r="C13" s="483">
        <v>0.1417910447761194</v>
      </c>
      <c r="D13" s="483">
        <v>0.54477611940298509</v>
      </c>
      <c r="E13" s="483">
        <v>8.2089552238805971E-2</v>
      </c>
      <c r="F13" s="483">
        <v>0.11940298507462686</v>
      </c>
      <c r="G13" s="483">
        <v>4.4776119402985072E-2</v>
      </c>
      <c r="H13" s="483">
        <v>5.9701492537313432E-2</v>
      </c>
      <c r="I13" s="483">
        <v>7.462686567164179E-3</v>
      </c>
      <c r="J13" s="484">
        <v>155.08333333333337</v>
      </c>
      <c r="K13" s="485">
        <f t="shared" si="0"/>
        <v>106.47512437810947</v>
      </c>
      <c r="L13" s="486">
        <f>K13*Summary!$B$18</f>
        <v>314749.07460816414</v>
      </c>
      <c r="M13" s="485">
        <f t="shared" si="1"/>
        <v>47.450870646766177</v>
      </c>
      <c r="N13" s="486">
        <f>M13*Summary!$B$19</f>
        <v>572383.76240901265</v>
      </c>
      <c r="O13" s="485">
        <f t="shared" si="2"/>
        <v>1.1573383084577118</v>
      </c>
      <c r="P13" s="487">
        <f>O13*Summary!$B$21</f>
        <v>34776.667314242448</v>
      </c>
      <c r="Q13" s="488"/>
      <c r="R13" s="487">
        <f t="shared" si="3"/>
        <v>921909.50433141924</v>
      </c>
      <c r="S13" s="488"/>
      <c r="T13" s="487">
        <f>(O13*Summary!$B$25)</f>
        <v>32540.689702302145</v>
      </c>
      <c r="U13" s="487">
        <f t="shared" si="5"/>
        <v>919673.52671947889</v>
      </c>
      <c r="V13" s="573">
        <f t="shared" si="4"/>
        <v>84.485696517412961</v>
      </c>
      <c r="W13" s="574">
        <f>(V13*$W$4)*(Summary!$B$19-Summary!$B$18)</f>
        <v>38468.788017453524</v>
      </c>
      <c r="X13" s="487"/>
      <c r="AJ13" s="475"/>
      <c r="AK13" s="475"/>
      <c r="AN13" s="475"/>
      <c r="AO13" s="475"/>
      <c r="AP13" s="475"/>
    </row>
    <row r="14" spans="1:42" x14ac:dyDescent="0.25">
      <c r="A14" s="482">
        <v>9257009</v>
      </c>
      <c r="B14" s="480" t="s">
        <v>301</v>
      </c>
      <c r="C14" s="483">
        <v>0.12745098039215685</v>
      </c>
      <c r="D14" s="483">
        <v>0.48039215686274511</v>
      </c>
      <c r="E14" s="483">
        <v>8.3333333333333329E-2</v>
      </c>
      <c r="F14" s="483">
        <v>0.10784313725490197</v>
      </c>
      <c r="G14" s="483">
        <v>4.4117647058823532E-2</v>
      </c>
      <c r="H14" s="483">
        <v>9.8039215686274508E-2</v>
      </c>
      <c r="I14" s="483">
        <v>5.8823529411764705E-2</v>
      </c>
      <c r="J14" s="484">
        <v>229.75000000000003</v>
      </c>
      <c r="K14" s="485">
        <f t="shared" si="0"/>
        <v>139.65196078431376</v>
      </c>
      <c r="L14" s="486">
        <f>K14*Summary!$B$18</f>
        <v>412822.4848837583</v>
      </c>
      <c r="M14" s="485">
        <f t="shared" si="1"/>
        <v>76.583333333333343</v>
      </c>
      <c r="N14" s="486">
        <f>M14*Summary!$B$19</f>
        <v>923798.78121676343</v>
      </c>
      <c r="O14" s="485">
        <f t="shared" si="2"/>
        <v>13.514705882352942</v>
      </c>
      <c r="P14" s="487">
        <f>O14*Summary!$B$21</f>
        <v>406101.16064225737</v>
      </c>
      <c r="Q14" s="488"/>
      <c r="R14" s="487">
        <f t="shared" si="3"/>
        <v>1742722.4267427791</v>
      </c>
      <c r="S14" s="488"/>
      <c r="T14" s="487">
        <f>(O14*Summary!$B$25)</f>
        <v>379990.74887755152</v>
      </c>
      <c r="U14" s="487">
        <f t="shared" si="5"/>
        <v>1716612.0149780731</v>
      </c>
      <c r="V14" s="573">
        <f t="shared" si="4"/>
        <v>110.3700980392157</v>
      </c>
      <c r="W14" s="574">
        <f>(V14*$W$4)*(Summary!$B$19-Summary!$B$18)</f>
        <v>50254.706772300429</v>
      </c>
      <c r="X14" s="487"/>
      <c r="AJ14" s="475"/>
      <c r="AK14" s="475"/>
      <c r="AN14" s="475"/>
      <c r="AO14" s="475"/>
      <c r="AP14" s="475"/>
    </row>
    <row r="15" spans="1:42" x14ac:dyDescent="0.25">
      <c r="A15" s="482">
        <v>9257029</v>
      </c>
      <c r="B15" s="480" t="s">
        <v>302</v>
      </c>
      <c r="C15" s="483">
        <v>0</v>
      </c>
      <c r="D15" s="483">
        <v>0</v>
      </c>
      <c r="E15" s="483">
        <v>1</v>
      </c>
      <c r="F15" s="483">
        <v>0</v>
      </c>
      <c r="G15" s="483">
        <v>0</v>
      </c>
      <c r="H15" s="483">
        <v>0</v>
      </c>
      <c r="I15" s="483">
        <v>0</v>
      </c>
      <c r="J15" s="484">
        <v>82</v>
      </c>
      <c r="K15" s="575">
        <f t="shared" si="0"/>
        <v>0</v>
      </c>
      <c r="L15" s="576">
        <f>K15*Summary!$B$18</f>
        <v>0</v>
      </c>
      <c r="M15" s="575">
        <f t="shared" si="1"/>
        <v>82</v>
      </c>
      <c r="N15" s="576">
        <f>M15*Summary!$B$54</f>
        <v>1224221.6856704606</v>
      </c>
      <c r="O15" s="575">
        <f t="shared" si="2"/>
        <v>0</v>
      </c>
      <c r="P15" s="577">
        <f>O15*Summary!$B$21</f>
        <v>0</v>
      </c>
      <c r="Q15" s="578"/>
      <c r="R15" s="577">
        <f t="shared" si="3"/>
        <v>1224221.6856704606</v>
      </c>
      <c r="S15" s="578"/>
      <c r="T15" s="577">
        <f>(O15*Summary!$B$25)</f>
        <v>0</v>
      </c>
      <c r="U15" s="577">
        <f t="shared" si="5"/>
        <v>1224221.6856704606</v>
      </c>
      <c r="V15" s="579">
        <f t="shared" si="4"/>
        <v>0</v>
      </c>
      <c r="W15" s="574">
        <f>(V15*$W$4)*(Summary!$B$19-Summary!$B$18)</f>
        <v>0</v>
      </c>
      <c r="X15" s="487"/>
      <c r="AJ15" s="475"/>
      <c r="AK15" s="475"/>
      <c r="AN15" s="475"/>
      <c r="AO15" s="475"/>
      <c r="AP15" s="475"/>
    </row>
    <row r="16" spans="1:42" x14ac:dyDescent="0.25">
      <c r="A16" s="482">
        <v>9257032</v>
      </c>
      <c r="B16" s="480" t="s">
        <v>303</v>
      </c>
      <c r="C16" s="483">
        <v>0</v>
      </c>
      <c r="D16" s="483">
        <v>0</v>
      </c>
      <c r="E16" s="483">
        <v>1</v>
      </c>
      <c r="F16" s="483">
        <v>0</v>
      </c>
      <c r="G16" s="483">
        <v>0</v>
      </c>
      <c r="H16" s="483">
        <v>0</v>
      </c>
      <c r="I16" s="483">
        <v>0</v>
      </c>
      <c r="J16" s="484">
        <v>116.16666666666667</v>
      </c>
      <c r="K16" s="575">
        <f t="shared" si="0"/>
        <v>0</v>
      </c>
      <c r="L16" s="576">
        <f>K16*Summary!$B$18</f>
        <v>0</v>
      </c>
      <c r="M16" s="575">
        <f t="shared" si="1"/>
        <v>116.16666666666667</v>
      </c>
      <c r="N16" s="576">
        <f>M16*Summary!$B$54</f>
        <v>1734314.0546998191</v>
      </c>
      <c r="O16" s="575">
        <f t="shared" si="2"/>
        <v>0</v>
      </c>
      <c r="P16" s="577">
        <f>O16*Summary!$B$21</f>
        <v>0</v>
      </c>
      <c r="Q16" s="578"/>
      <c r="R16" s="577">
        <f t="shared" si="3"/>
        <v>1734314.0546998191</v>
      </c>
      <c r="S16" s="578"/>
      <c r="T16" s="577">
        <f>(O16*Summary!$B$25)</f>
        <v>0</v>
      </c>
      <c r="U16" s="577">
        <f t="shared" si="5"/>
        <v>1734314.0546998191</v>
      </c>
      <c r="V16" s="579">
        <f t="shared" si="4"/>
        <v>0</v>
      </c>
      <c r="W16" s="574">
        <f>(V16*$W$4)*(Summary!$B$19-Summary!$B$18)</f>
        <v>0</v>
      </c>
      <c r="X16" s="487"/>
      <c r="AJ16" s="475"/>
      <c r="AK16" s="475"/>
      <c r="AN16" s="475"/>
      <c r="AO16" s="475"/>
      <c r="AP16" s="475"/>
    </row>
    <row r="17" spans="1:42" x14ac:dyDescent="0.25">
      <c r="A17" s="482">
        <v>9257030</v>
      </c>
      <c r="B17" s="480" t="s">
        <v>304</v>
      </c>
      <c r="C17" s="483">
        <v>0</v>
      </c>
      <c r="D17" s="483">
        <v>0</v>
      </c>
      <c r="E17" s="483">
        <v>1</v>
      </c>
      <c r="F17" s="483">
        <v>0</v>
      </c>
      <c r="G17" s="483">
        <v>0</v>
      </c>
      <c r="H17" s="483">
        <v>0</v>
      </c>
      <c r="I17" s="483">
        <v>0</v>
      </c>
      <c r="J17" s="484">
        <v>81.25</v>
      </c>
      <c r="K17" s="575">
        <f t="shared" si="0"/>
        <v>0</v>
      </c>
      <c r="L17" s="576">
        <f>K17*Summary!$B$18</f>
        <v>0</v>
      </c>
      <c r="M17" s="575">
        <f t="shared" si="1"/>
        <v>81.25</v>
      </c>
      <c r="N17" s="576">
        <f>M17*Summary!$B$54</f>
        <v>1213024.5361064014</v>
      </c>
      <c r="O17" s="575">
        <f t="shared" si="2"/>
        <v>0</v>
      </c>
      <c r="P17" s="577">
        <f>O17*Summary!$B$21</f>
        <v>0</v>
      </c>
      <c r="Q17" s="578"/>
      <c r="R17" s="577">
        <f t="shared" si="3"/>
        <v>1213024.5361064014</v>
      </c>
      <c r="S17" s="578"/>
      <c r="T17" s="577">
        <f>(O17*Summary!$B$25)</f>
        <v>0</v>
      </c>
      <c r="U17" s="577">
        <f t="shared" si="5"/>
        <v>1213024.5361064014</v>
      </c>
      <c r="V17" s="579">
        <f t="shared" si="4"/>
        <v>0</v>
      </c>
      <c r="W17" s="574">
        <f>(V17*$W$4)*(Summary!$B$19-Summary!$B$18)</f>
        <v>0</v>
      </c>
      <c r="X17" s="487"/>
      <c r="AJ17" s="475"/>
      <c r="AK17" s="475"/>
      <c r="AN17" s="475"/>
      <c r="AO17" s="475"/>
      <c r="AP17" s="475"/>
    </row>
    <row r="18" spans="1:42" x14ac:dyDescent="0.25">
      <c r="A18" s="482">
        <v>9257028</v>
      </c>
      <c r="B18" s="480" t="s">
        <v>305</v>
      </c>
      <c r="C18" s="483">
        <v>2.9629629629629631E-2</v>
      </c>
      <c r="D18" s="483">
        <v>0.31851851851851853</v>
      </c>
      <c r="E18" s="483">
        <v>5.185185185185185E-2</v>
      </c>
      <c r="F18" s="483">
        <v>0.2074074074074074</v>
      </c>
      <c r="G18" s="483">
        <v>5.185185185185185E-2</v>
      </c>
      <c r="H18" s="483">
        <v>0.17777777777777778</v>
      </c>
      <c r="I18" s="483">
        <v>0.16296296296296298</v>
      </c>
      <c r="J18" s="484">
        <v>147</v>
      </c>
      <c r="K18" s="485">
        <f t="shared" si="0"/>
        <v>51.177777777777777</v>
      </c>
      <c r="L18" s="486">
        <f>K18*Summary!$B$18</f>
        <v>151285.64808109813</v>
      </c>
      <c r="M18" s="485">
        <f t="shared" si="1"/>
        <v>71.866666666666674</v>
      </c>
      <c r="N18" s="486">
        <f>M18*Summary!$B$19</f>
        <v>866903.23059993121</v>
      </c>
      <c r="O18" s="485">
        <f t="shared" si="2"/>
        <v>23.955555555555556</v>
      </c>
      <c r="P18" s="487">
        <f>O18*Summary!$B$21</f>
        <v>719836.52471817273</v>
      </c>
      <c r="Q18" s="488"/>
      <c r="R18" s="487">
        <f t="shared" si="3"/>
        <v>1738025.403399202</v>
      </c>
      <c r="S18" s="488"/>
      <c r="T18" s="487">
        <f>(O18*Summary!$B$25)</f>
        <v>673554.39138483943</v>
      </c>
      <c r="U18" s="487">
        <f t="shared" si="5"/>
        <v>1691743.2700658687</v>
      </c>
      <c r="V18" s="573">
        <f t="shared" si="4"/>
        <v>46.822222222222223</v>
      </c>
      <c r="W18" s="574">
        <f>(V18*$W$4)*(Summary!$B$19-Summary!$B$18)</f>
        <v>21319.515792848229</v>
      </c>
      <c r="X18" s="487"/>
      <c r="AJ18" s="475"/>
      <c r="AK18" s="475"/>
      <c r="AN18" s="475"/>
      <c r="AO18" s="475"/>
      <c r="AP18" s="475"/>
    </row>
    <row r="19" spans="1:42" x14ac:dyDescent="0.25">
      <c r="A19" s="482">
        <v>9257021</v>
      </c>
      <c r="B19" s="480" t="s">
        <v>306</v>
      </c>
      <c r="C19" s="483">
        <v>0.12941176470588237</v>
      </c>
      <c r="D19" s="483">
        <v>0.62352941176470589</v>
      </c>
      <c r="E19" s="483">
        <v>0.11176470588235295</v>
      </c>
      <c r="F19" s="483">
        <v>8.2352941176470587E-2</v>
      </c>
      <c r="G19" s="483">
        <v>2.3529411764705882E-2</v>
      </c>
      <c r="H19" s="483">
        <v>1.1764705882352941E-2</v>
      </c>
      <c r="I19" s="483">
        <v>1.7647058823529412E-2</v>
      </c>
      <c r="J19" s="484">
        <v>180</v>
      </c>
      <c r="K19" s="485">
        <f t="shared" si="0"/>
        <v>135.52941176470588</v>
      </c>
      <c r="L19" s="486">
        <f>K19*Summary!$B$18</f>
        <v>400635.89673439384</v>
      </c>
      <c r="M19" s="485">
        <f t="shared" si="1"/>
        <v>41.294117647058826</v>
      </c>
      <c r="N19" s="486">
        <f>M19*Summary!$B$19</f>
        <v>498116.93867823173</v>
      </c>
      <c r="O19" s="485">
        <f t="shared" si="2"/>
        <v>3.1764705882352939</v>
      </c>
      <c r="P19" s="487">
        <f>O19*Summary!$B$21</f>
        <v>95449.239062815657</v>
      </c>
      <c r="Q19" s="488"/>
      <c r="R19" s="487">
        <f t="shared" si="3"/>
        <v>994202.07447544124</v>
      </c>
      <c r="S19" s="488"/>
      <c r="T19" s="487">
        <f>(O19*Summary!$B$25)</f>
        <v>89312.29788634507</v>
      </c>
      <c r="U19" s="487">
        <f t="shared" si="5"/>
        <v>988065.13329897064</v>
      </c>
      <c r="V19" s="573">
        <f t="shared" si="4"/>
        <v>112.23529411764706</v>
      </c>
      <c r="W19" s="574">
        <f>(V19*$W$4)*(Summary!$B$19-Summary!$B$18)</f>
        <v>51103.984644293509</v>
      </c>
      <c r="X19" s="487"/>
      <c r="AJ19" s="475"/>
      <c r="AK19" s="475"/>
      <c r="AN19" s="475"/>
      <c r="AO19" s="475"/>
      <c r="AP19" s="475"/>
    </row>
    <row r="20" spans="1:42" x14ac:dyDescent="0.25">
      <c r="A20" s="482">
        <v>9257015</v>
      </c>
      <c r="B20" s="480" t="s">
        <v>307</v>
      </c>
      <c r="C20" s="483">
        <v>1.6556291390728478E-2</v>
      </c>
      <c r="D20" s="483">
        <v>0.29139072847682118</v>
      </c>
      <c r="E20" s="483">
        <v>1.3245033112582781E-2</v>
      </c>
      <c r="F20" s="483">
        <v>0.34768211920529801</v>
      </c>
      <c r="G20" s="483">
        <v>2.3178807947019868E-2</v>
      </c>
      <c r="H20" s="483">
        <v>0.27814569536423839</v>
      </c>
      <c r="I20" s="483">
        <v>2.9801324503311258E-2</v>
      </c>
      <c r="J20" s="484">
        <v>325.91666666666669</v>
      </c>
      <c r="K20" s="485">
        <f t="shared" si="0"/>
        <v>100.36506622516558</v>
      </c>
      <c r="L20" s="486">
        <f>K20*Summary!$B$18</f>
        <v>296687.24879980151</v>
      </c>
      <c r="M20" s="485">
        <f t="shared" si="1"/>
        <v>215.83885209713029</v>
      </c>
      <c r="N20" s="486">
        <f>M20*Summary!$B$19</f>
        <v>2603590.8836546792</v>
      </c>
      <c r="O20" s="485">
        <f t="shared" si="2"/>
        <v>9.712748344370862</v>
      </c>
      <c r="P20" s="487">
        <f>O20*Summary!$B$21</f>
        <v>291856.76773222157</v>
      </c>
      <c r="Q20" s="488"/>
      <c r="R20" s="487">
        <f t="shared" si="3"/>
        <v>3192134.9001867021</v>
      </c>
      <c r="S20" s="488"/>
      <c r="T20" s="487">
        <f>(O20*Summary!$B$25)</f>
        <v>273091.73793089704</v>
      </c>
      <c r="U20" s="487">
        <f t="shared" si="5"/>
        <v>3173369.8703853777</v>
      </c>
      <c r="V20" s="573">
        <f t="shared" si="4"/>
        <v>94.969094922737312</v>
      </c>
      <c r="W20" s="574">
        <f>(V20*$W$4)*(Summary!$B$19-Summary!$B$18)</f>
        <v>43242.18336815427</v>
      </c>
      <c r="X20" s="487"/>
      <c r="AJ20" s="475"/>
      <c r="AK20" s="475"/>
      <c r="AN20" s="475"/>
      <c r="AO20" s="475"/>
      <c r="AP20" s="475"/>
    </row>
    <row r="21" spans="1:42" x14ac:dyDescent="0.25">
      <c r="A21" s="482">
        <v>9257016</v>
      </c>
      <c r="B21" s="480" t="s">
        <v>308</v>
      </c>
      <c r="C21" s="483">
        <v>0</v>
      </c>
      <c r="D21" s="483">
        <v>6.9767441860465115E-2</v>
      </c>
      <c r="E21" s="483">
        <v>5.8139534883720929E-3</v>
      </c>
      <c r="F21" s="483">
        <v>0.28488372093023256</v>
      </c>
      <c r="G21" s="483">
        <v>0.13372093023255813</v>
      </c>
      <c r="H21" s="483">
        <v>6.3953488372093026E-2</v>
      </c>
      <c r="I21" s="483">
        <v>0.44186046511627908</v>
      </c>
      <c r="J21" s="484">
        <v>171.33333333333334</v>
      </c>
      <c r="K21" s="485">
        <f t="shared" si="0"/>
        <v>11.953488372093023</v>
      </c>
      <c r="L21" s="486">
        <f>K21*Summary!$B$18</f>
        <v>35335.477891484312</v>
      </c>
      <c r="M21" s="485">
        <f t="shared" si="1"/>
        <v>83.674418604651166</v>
      </c>
      <c r="N21" s="486">
        <f>M21*Summary!$B$19</f>
        <v>1009336.1383155345</v>
      </c>
      <c r="O21" s="485">
        <f t="shared" si="2"/>
        <v>75.705426356589157</v>
      </c>
      <c r="P21" s="487">
        <f>O21*Summary!$B$21</f>
        <v>2274859.8288381831</v>
      </c>
      <c r="Q21" s="488"/>
      <c r="R21" s="487">
        <f t="shared" si="3"/>
        <v>3319531.445045202</v>
      </c>
      <c r="S21" s="488"/>
      <c r="T21" s="487">
        <f>(O21*Summary!$B$25)</f>
        <v>2128596.9451172529</v>
      </c>
      <c r="U21" s="487">
        <f t="shared" si="5"/>
        <v>3173268.5613242714</v>
      </c>
      <c r="V21" s="573">
        <f t="shared" si="4"/>
        <v>11.953488372093023</v>
      </c>
      <c r="W21" s="574">
        <f>(V21*$W$4)*(Summary!$B$19-Summary!$B$18)</f>
        <v>5442.7699505367445</v>
      </c>
      <c r="X21" s="487"/>
      <c r="AJ21" s="475"/>
      <c r="AK21" s="475"/>
      <c r="AN21" s="475"/>
      <c r="AO21" s="475"/>
      <c r="AP21" s="475"/>
    </row>
    <row r="22" spans="1:42" ht="13" x14ac:dyDescent="0.3">
      <c r="A22" s="490"/>
      <c r="C22" s="491"/>
      <c r="D22" s="491"/>
      <c r="E22" s="491"/>
      <c r="F22" s="491"/>
      <c r="G22" s="491"/>
      <c r="H22" s="491"/>
      <c r="I22" s="491"/>
      <c r="J22" s="492">
        <f>SUM(J6:J21)</f>
        <v>2425.166666666667</v>
      </c>
      <c r="K22" s="493">
        <f>SUM(K6:K21)/$J$22</f>
        <v>0.42707386517234136</v>
      </c>
      <c r="L22" s="494">
        <f>SUM(L6:L21)</f>
        <v>3061687.7159170704</v>
      </c>
      <c r="M22" s="493">
        <f>SUM(M6:M21)/$J$22</f>
        <v>0.49904124458687787</v>
      </c>
      <c r="N22" s="494">
        <f>SUM(N6:N21)</f>
        <v>15631008.041177785</v>
      </c>
      <c r="O22" s="493">
        <f t="shared" ref="O22" si="6">SUM(O6:O21)/$J$22</f>
        <v>7.3884890240780834E-2</v>
      </c>
      <c r="P22" s="494">
        <f>SUM(P6:P21)</f>
        <v>5384245.5136724133</v>
      </c>
      <c r="Q22" s="495"/>
      <c r="R22" s="494">
        <f>SUM(R6:R21)</f>
        <v>24076941.270767272</v>
      </c>
      <c r="S22" s="495"/>
      <c r="T22" s="538">
        <f>SUM(T6:T21)</f>
        <v>5038063.6234706733</v>
      </c>
      <c r="U22" s="538">
        <f>SUM(U6:U21)</f>
        <v>23730759.380565535</v>
      </c>
      <c r="V22" s="558">
        <f>SUM(V6:V21)</f>
        <v>892.78984889836977</v>
      </c>
      <c r="W22" s="496">
        <f>SUM(W6:W21)</f>
        <v>406513.11236248323</v>
      </c>
      <c r="X22" s="496"/>
      <c r="AJ22" s="475"/>
      <c r="AK22" s="475"/>
      <c r="AN22" s="475"/>
      <c r="AO22" s="475"/>
      <c r="AP22" s="475"/>
    </row>
    <row r="23" spans="1:42" x14ac:dyDescent="0.25">
      <c r="A23" s="490"/>
      <c r="C23" s="491"/>
      <c r="D23" s="491"/>
      <c r="F23" s="491"/>
      <c r="G23" s="491"/>
      <c r="H23" s="491"/>
      <c r="I23" s="491"/>
      <c r="J23" s="491"/>
      <c r="W23" s="496"/>
      <c r="X23" s="496"/>
      <c r="AJ23" s="475"/>
      <c r="AK23" s="475"/>
      <c r="AN23" s="475"/>
      <c r="AO23" s="475"/>
      <c r="AP23" s="475"/>
    </row>
    <row r="24" spans="1:42" x14ac:dyDescent="0.25">
      <c r="U24" s="496">
        <f>U22-R22</f>
        <v>-346181.89020173624</v>
      </c>
      <c r="W24" s="525"/>
      <c r="X24" s="525"/>
    </row>
  </sheetData>
  <mergeCells count="2">
    <mergeCell ref="K4:R4"/>
    <mergeCell ref="T4:U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8143-AB3F-4B59-8858-E98F6FB0B0C9}">
  <sheetPr>
    <tabColor rgb="FF92D050"/>
  </sheetPr>
  <dimension ref="A1:AP24"/>
  <sheetViews>
    <sheetView topLeftCell="L1" workbookViewId="0">
      <selection activeCell="U25" sqref="U25"/>
    </sheetView>
  </sheetViews>
  <sheetFormatPr defaultColWidth="10.1796875" defaultRowHeight="12.5" x14ac:dyDescent="0.25"/>
  <cols>
    <col min="1" max="1" width="9.1796875" style="475" customWidth="1"/>
    <col min="2" max="2" width="26.81640625" style="475" customWidth="1"/>
    <col min="3" max="3" width="12.1796875" style="475" customWidth="1"/>
    <col min="4" max="4" width="16.453125" style="475" customWidth="1"/>
    <col min="5" max="5" width="12.81640625" style="475" customWidth="1"/>
    <col min="6" max="6" width="14.54296875" style="475" customWidth="1"/>
    <col min="7" max="7" width="13.1796875" style="475" customWidth="1"/>
    <col min="8" max="8" width="13" style="476" customWidth="1"/>
    <col min="9" max="9" width="12.81640625" style="476" customWidth="1"/>
    <col min="10" max="12" width="12.1796875" style="475" customWidth="1"/>
    <col min="13" max="15" width="11.1796875" style="475" customWidth="1"/>
    <col min="16" max="16" width="10.453125" style="475" customWidth="1"/>
    <col min="17" max="17" width="0.81640625" style="475" customWidth="1"/>
    <col min="18" max="18" width="11.1796875" style="475" customWidth="1"/>
    <col min="19" max="19" width="0.81640625" style="475" customWidth="1"/>
    <col min="20" max="20" width="10.54296875" style="475" bestFit="1" customWidth="1"/>
    <col min="21" max="21" width="12.453125" style="475" customWidth="1"/>
    <col min="22" max="24" width="10.7265625" style="475" customWidth="1"/>
    <col min="25" max="25" width="1.1796875" style="475" customWidth="1"/>
    <col min="26" max="26" width="10" style="475" customWidth="1"/>
    <col min="27" max="27" width="11.453125" style="475" customWidth="1"/>
    <col min="28" max="28" width="10.54296875" style="475" bestFit="1" customWidth="1"/>
    <col min="29" max="29" width="10.1796875" style="475"/>
    <col min="30" max="30" width="15" style="475" customWidth="1"/>
    <col min="31" max="31" width="14.1796875" style="475" customWidth="1"/>
    <col min="32" max="35" width="10.1796875" style="475"/>
    <col min="36" max="36" width="14.81640625" style="476" customWidth="1"/>
    <col min="37" max="37" width="13.1796875" style="476" customWidth="1"/>
    <col min="38" max="39" width="10.1796875" style="475"/>
    <col min="40" max="40" width="19" style="476" bestFit="1" customWidth="1"/>
    <col min="41" max="41" width="16.81640625" style="476" customWidth="1"/>
    <col min="42" max="42" width="10.1796875" style="476"/>
    <col min="43" max="16384" width="10.1796875" style="475"/>
  </cols>
  <sheetData>
    <row r="1" spans="1:42" x14ac:dyDescent="0.25">
      <c r="A1" s="474" t="s">
        <v>275</v>
      </c>
      <c r="AJ1" s="475"/>
      <c r="AK1" s="475"/>
      <c r="AN1" s="475"/>
      <c r="AO1" s="475"/>
      <c r="AP1" s="475"/>
    </row>
    <row r="2" spans="1:42" ht="13" x14ac:dyDescent="0.3">
      <c r="A2" s="474"/>
      <c r="D2" s="477"/>
      <c r="L2" s="475" t="s">
        <v>276</v>
      </c>
      <c r="T2" s="475" t="s">
        <v>785</v>
      </c>
      <c r="AJ2" s="475"/>
      <c r="AK2" s="475"/>
      <c r="AN2" s="475"/>
      <c r="AO2" s="475"/>
      <c r="AP2" s="475"/>
    </row>
    <row r="3" spans="1:42" x14ac:dyDescent="0.25">
      <c r="A3" s="474" t="s">
        <v>138</v>
      </c>
      <c r="J3" s="474"/>
      <c r="L3" s="475" t="s">
        <v>277</v>
      </c>
      <c r="AJ3" s="475"/>
      <c r="AK3" s="475"/>
      <c r="AN3" s="475"/>
      <c r="AO3" s="475"/>
      <c r="AP3" s="475"/>
    </row>
    <row r="4" spans="1:42" ht="14.5" customHeight="1" x14ac:dyDescent="0.25">
      <c r="B4" s="478"/>
      <c r="K4" s="927" t="s">
        <v>232</v>
      </c>
      <c r="L4" s="927"/>
      <c r="M4" s="927"/>
      <c r="N4" s="927"/>
      <c r="O4" s="927"/>
      <c r="P4" s="927"/>
      <c r="Q4" s="927"/>
      <c r="R4" s="927"/>
      <c r="T4" s="928" t="s">
        <v>366</v>
      </c>
      <c r="U4" s="928"/>
      <c r="W4" s="491">
        <v>0.05</v>
      </c>
      <c r="X4" s="491"/>
      <c r="AJ4" s="475"/>
      <c r="AK4" s="475"/>
      <c r="AN4" s="475"/>
      <c r="AO4" s="475"/>
      <c r="AP4" s="475"/>
    </row>
    <row r="5" spans="1:42" ht="25" x14ac:dyDescent="0.25">
      <c r="A5" s="479" t="s">
        <v>278</v>
      </c>
      <c r="B5" s="480" t="s">
        <v>279</v>
      </c>
      <c r="C5" s="476" t="s">
        <v>280</v>
      </c>
      <c r="D5" s="476" t="s">
        <v>281</v>
      </c>
      <c r="E5" s="476" t="s">
        <v>282</v>
      </c>
      <c r="F5" s="476" t="s">
        <v>283</v>
      </c>
      <c r="G5" s="476" t="s">
        <v>284</v>
      </c>
      <c r="H5" s="476" t="s">
        <v>285</v>
      </c>
      <c r="I5" s="476" t="s">
        <v>286</v>
      </c>
      <c r="J5" s="481" t="s">
        <v>804</v>
      </c>
      <c r="K5" s="481" t="s">
        <v>288</v>
      </c>
      <c r="L5" s="481" t="s">
        <v>289</v>
      </c>
      <c r="M5" s="481" t="s">
        <v>290</v>
      </c>
      <c r="N5" s="481" t="s">
        <v>291</v>
      </c>
      <c r="O5" s="481" t="s">
        <v>292</v>
      </c>
      <c r="P5" s="481" t="s">
        <v>293</v>
      </c>
      <c r="R5" s="476" t="s">
        <v>27</v>
      </c>
      <c r="T5" s="481" t="s">
        <v>292</v>
      </c>
      <c r="U5" s="476" t="s">
        <v>27</v>
      </c>
      <c r="W5" s="481" t="s">
        <v>410</v>
      </c>
      <c r="X5" s="481"/>
      <c r="AJ5" s="475"/>
      <c r="AK5" s="475"/>
      <c r="AN5" s="475"/>
      <c r="AO5" s="475"/>
      <c r="AP5" s="475"/>
    </row>
    <row r="6" spans="1:42" x14ac:dyDescent="0.25">
      <c r="A6" s="482">
        <v>9257010</v>
      </c>
      <c r="B6" s="480" t="s">
        <v>294</v>
      </c>
      <c r="C6" s="483">
        <v>7.8431372549019607E-2</v>
      </c>
      <c r="D6" s="483">
        <v>0.37908496732026142</v>
      </c>
      <c r="E6" s="483">
        <v>2.6143790849673203E-2</v>
      </c>
      <c r="F6" s="483">
        <v>0.24836601307189543</v>
      </c>
      <c r="G6" s="483">
        <v>5.2287581699346407E-2</v>
      </c>
      <c r="H6" s="483">
        <v>0.12418300653594772</v>
      </c>
      <c r="I6" s="483">
        <v>9.1503267973856203E-2</v>
      </c>
      <c r="J6" s="484">
        <v>156.83333333333334</v>
      </c>
      <c r="K6" s="485">
        <f>(SUM(C6:D6))*J6</f>
        <v>71.753812636165577</v>
      </c>
      <c r="L6" s="486">
        <f>K6*Summary!$B$18</f>
        <v>212110.07039202773</v>
      </c>
      <c r="M6" s="485">
        <f>(SUM(E6:H6))*J6</f>
        <v>70.72875816993465</v>
      </c>
      <c r="N6" s="486">
        <f>M6*Summary!$B$19</f>
        <v>853177.02625933604</v>
      </c>
      <c r="O6" s="485">
        <f>(SUM(I6))*J6</f>
        <v>14.350762527233115</v>
      </c>
      <c r="P6" s="487">
        <f>O6*Summary!$B$21</f>
        <v>431223.68841342028</v>
      </c>
      <c r="Q6" s="488"/>
      <c r="R6" s="487">
        <f>L6+N6+P6</f>
        <v>1496510.7850647839</v>
      </c>
      <c r="S6" s="488"/>
      <c r="T6" s="487">
        <f>(O6*Summary!$B$25)</f>
        <v>403498.01521080587</v>
      </c>
      <c r="U6" s="487">
        <f>L6+N6+T6</f>
        <v>1468785.1118621696</v>
      </c>
      <c r="V6" s="573">
        <f>(D6*J6)</f>
        <v>59.453159041394336</v>
      </c>
      <c r="W6" s="574">
        <f>(V6*$W$4)*(Summary!$B$19-Summary!$B$18)</f>
        <v>27070.747669813762</v>
      </c>
      <c r="X6" s="487"/>
      <c r="Y6" s="489"/>
      <c r="Z6" s="489">
        <v>1468785.1118621696</v>
      </c>
      <c r="AA6" s="525">
        <f>U6-Z6</f>
        <v>0</v>
      </c>
      <c r="AJ6" s="475"/>
      <c r="AK6" s="475"/>
      <c r="AN6" s="475"/>
      <c r="AO6" s="475"/>
      <c r="AP6" s="475"/>
    </row>
    <row r="7" spans="1:42" ht="12.75" customHeight="1" x14ac:dyDescent="0.25">
      <c r="A7" s="482">
        <v>9257005</v>
      </c>
      <c r="B7" s="480" t="s">
        <v>198</v>
      </c>
      <c r="C7" s="483">
        <v>8.9743589743589744E-2</v>
      </c>
      <c r="D7" s="483">
        <v>0.45299145299145299</v>
      </c>
      <c r="E7" s="483">
        <v>0.10256410256410256</v>
      </c>
      <c r="F7" s="483">
        <v>0.10683760683760683</v>
      </c>
      <c r="G7" s="483">
        <v>4.2735042735042736E-2</v>
      </c>
      <c r="H7" s="483">
        <v>0.13675213675213677</v>
      </c>
      <c r="I7" s="483">
        <v>6.8376068376068383E-2</v>
      </c>
      <c r="J7" s="484">
        <v>257</v>
      </c>
      <c r="K7" s="485">
        <f t="shared" ref="K7:K21" si="0">(SUM(C7:D7))*J7</f>
        <v>139.48290598290598</v>
      </c>
      <c r="L7" s="486">
        <f>K7*Summary!$B$18</f>
        <v>412322.74522520474</v>
      </c>
      <c r="M7" s="485">
        <f t="shared" ref="M7:M21" si="1">(SUM(E7:H7))*J7</f>
        <v>99.944444444444443</v>
      </c>
      <c r="N7" s="486">
        <f>M7*Summary!$B$19</f>
        <v>1205595.9429879994</v>
      </c>
      <c r="O7" s="485">
        <f t="shared" ref="O7:O21" si="2">(SUM(I7))*J7</f>
        <v>17.572649572649574</v>
      </c>
      <c r="P7" s="487">
        <f>O7*Summary!$B$21</f>
        <v>528037.63908254716</v>
      </c>
      <c r="Q7" s="488"/>
      <c r="R7" s="487">
        <f t="shared" ref="R7:R21" si="3">L7+N7+P7</f>
        <v>2145956.3272957513</v>
      </c>
      <c r="S7" s="488"/>
      <c r="T7" s="487">
        <f>(O7*Summary!$B$25)</f>
        <v>494087.28010818822</v>
      </c>
      <c r="U7" s="487">
        <f>L7+N7+T7</f>
        <v>2112005.9683213923</v>
      </c>
      <c r="V7" s="573">
        <f t="shared" ref="V7:V21" si="4">(D7*J7)</f>
        <v>116.41880341880342</v>
      </c>
      <c r="W7" s="574">
        <f>(V7*$W$4)*(Summary!$B$19-Summary!$B$18)</f>
        <v>53008.857766124966</v>
      </c>
      <c r="X7" s="487"/>
      <c r="Z7" s="475">
        <v>2112005.9683213923</v>
      </c>
      <c r="AA7" s="525">
        <f t="shared" ref="AA7:AA22" si="5">U7-Z7</f>
        <v>0</v>
      </c>
      <c r="AJ7" s="475"/>
      <c r="AK7" s="475"/>
      <c r="AN7" s="475"/>
      <c r="AO7" s="475"/>
      <c r="AP7" s="475"/>
    </row>
    <row r="8" spans="1:42" ht="12.75" customHeight="1" x14ac:dyDescent="0.25">
      <c r="A8" s="482">
        <v>9257025</v>
      </c>
      <c r="B8" s="480" t="s">
        <v>295</v>
      </c>
      <c r="C8" s="483">
        <v>3.8095238095238099E-2</v>
      </c>
      <c r="D8" s="483">
        <v>0.52380952380952384</v>
      </c>
      <c r="E8" s="483">
        <v>2.8571428571428571E-2</v>
      </c>
      <c r="F8" s="483">
        <v>0.2857142857142857</v>
      </c>
      <c r="G8" s="483">
        <v>2.8571428571428571E-2</v>
      </c>
      <c r="H8" s="483">
        <v>4.7619047619047616E-2</v>
      </c>
      <c r="I8" s="483">
        <v>4.7619047619047616E-2</v>
      </c>
      <c r="J8" s="484">
        <v>110</v>
      </c>
      <c r="K8" s="485">
        <f t="shared" si="0"/>
        <v>61.80952380952381</v>
      </c>
      <c r="L8" s="486">
        <f>K8*Summary!$B$18</f>
        <v>182713.9487711048</v>
      </c>
      <c r="M8" s="485">
        <f t="shared" si="1"/>
        <v>42.952380952380949</v>
      </c>
      <c r="N8" s="486">
        <f>M8*Summary!$B$19</f>
        <v>518120.00662678096</v>
      </c>
      <c r="O8" s="485">
        <f t="shared" si="2"/>
        <v>5.2380952380952381</v>
      </c>
      <c r="P8" s="487">
        <f>O8*Summary!$B$21</f>
        <v>157398.65700834681</v>
      </c>
      <c r="Q8" s="488"/>
      <c r="R8" s="487">
        <f t="shared" si="3"/>
        <v>858232.61240623263</v>
      </c>
      <c r="S8" s="488"/>
      <c r="T8" s="487">
        <f>(O8*Summary!$B$25)</f>
        <v>147278.65700834681</v>
      </c>
      <c r="U8" s="487">
        <f t="shared" ref="U8:U21" si="6">L8+N8+T8</f>
        <v>848112.61240623263</v>
      </c>
      <c r="V8" s="573">
        <f t="shared" si="4"/>
        <v>57.61904761904762</v>
      </c>
      <c r="W8" s="574">
        <f>(V8*$W$4)*(Summary!$B$19-Summary!$B$18)</f>
        <v>26235.623543304322</v>
      </c>
      <c r="X8" s="487"/>
      <c r="Z8" s="475">
        <v>848112.61240623263</v>
      </c>
      <c r="AA8" s="525">
        <f t="shared" si="5"/>
        <v>0</v>
      </c>
      <c r="AJ8" s="475"/>
      <c r="AK8" s="475"/>
      <c r="AN8" s="475"/>
      <c r="AO8" s="475"/>
      <c r="AP8" s="475"/>
    </row>
    <row r="9" spans="1:42" x14ac:dyDescent="0.25">
      <c r="A9" s="482">
        <v>9257024</v>
      </c>
      <c r="B9" s="480" t="s">
        <v>296</v>
      </c>
      <c r="C9" s="483">
        <v>0.11881188118811881</v>
      </c>
      <c r="D9" s="483">
        <v>0.58415841584158412</v>
      </c>
      <c r="E9" s="483">
        <v>1.9801980198019802E-2</v>
      </c>
      <c r="F9" s="483">
        <v>0.13861386138613863</v>
      </c>
      <c r="G9" s="483">
        <v>4.9504950495049507E-2</v>
      </c>
      <c r="H9" s="483">
        <v>2.9702970297029702E-2</v>
      </c>
      <c r="I9" s="483">
        <v>5.9405940594059403E-2</v>
      </c>
      <c r="J9" s="484">
        <v>108.83333333333334</v>
      </c>
      <c r="K9" s="485">
        <f t="shared" si="0"/>
        <v>76.506600660066013</v>
      </c>
      <c r="L9" s="486">
        <f>K9*Summary!$B$18</f>
        <v>226159.69598362726</v>
      </c>
      <c r="M9" s="485">
        <f t="shared" si="1"/>
        <v>25.861386138613867</v>
      </c>
      <c r="N9" s="486">
        <f>M9*Summary!$B$19</f>
        <v>311957.13160514802</v>
      </c>
      <c r="O9" s="485">
        <f t="shared" si="2"/>
        <v>6.4653465346534658</v>
      </c>
      <c r="P9" s="487">
        <f>O9*Summary!$B$21</f>
        <v>194276.12813280468</v>
      </c>
      <c r="Q9" s="488"/>
      <c r="R9" s="487">
        <f t="shared" si="3"/>
        <v>732392.95572157996</v>
      </c>
      <c r="S9" s="488"/>
      <c r="T9" s="487">
        <f>(O9*Summary!$B$25)</f>
        <v>181785.07862785418</v>
      </c>
      <c r="U9" s="487">
        <f t="shared" si="6"/>
        <v>719901.90621662955</v>
      </c>
      <c r="V9" s="573">
        <f t="shared" si="4"/>
        <v>63.57590759075908</v>
      </c>
      <c r="W9" s="574">
        <f>(V9*$W$4)*(Summary!$B$19-Summary!$B$18)</f>
        <v>28947.954659071267</v>
      </c>
      <c r="X9" s="487"/>
      <c r="Z9" s="475">
        <v>719901.90621662955</v>
      </c>
      <c r="AA9" s="525">
        <f t="shared" si="5"/>
        <v>0</v>
      </c>
      <c r="AJ9" s="475"/>
      <c r="AK9" s="475"/>
      <c r="AN9" s="475"/>
      <c r="AO9" s="475"/>
      <c r="AP9" s="475"/>
    </row>
    <row r="10" spans="1:42" ht="12.75" customHeight="1" x14ac:dyDescent="0.25">
      <c r="A10" s="482">
        <v>9257031</v>
      </c>
      <c r="B10" s="480" t="s">
        <v>297</v>
      </c>
      <c r="C10" s="483">
        <v>0</v>
      </c>
      <c r="D10" s="483">
        <v>0</v>
      </c>
      <c r="E10" s="483">
        <v>1</v>
      </c>
      <c r="F10" s="483">
        <v>0</v>
      </c>
      <c r="G10" s="483">
        <v>0</v>
      </c>
      <c r="H10" s="483">
        <v>0</v>
      </c>
      <c r="I10" s="483">
        <v>0</v>
      </c>
      <c r="J10" s="484">
        <v>80.583333333333343</v>
      </c>
      <c r="K10" s="575">
        <f>(SUM(C10:D10))*J10</f>
        <v>0</v>
      </c>
      <c r="L10" s="576">
        <f>K10*Summary!$B$18</f>
        <v>0</v>
      </c>
      <c r="M10" s="575">
        <f t="shared" si="1"/>
        <v>80.583333333333343</v>
      </c>
      <c r="N10" s="576">
        <f>M10*Summary!$B$41</f>
        <v>1161187.1980312993</v>
      </c>
      <c r="O10" s="575">
        <f t="shared" si="2"/>
        <v>0</v>
      </c>
      <c r="P10" s="577">
        <f>O10*Summary!$B$21</f>
        <v>0</v>
      </c>
      <c r="Q10" s="578"/>
      <c r="R10" s="577">
        <f t="shared" si="3"/>
        <v>1161187.1980312993</v>
      </c>
      <c r="S10" s="578"/>
      <c r="T10" s="577">
        <f>(O10*Summary!$B$25)</f>
        <v>0</v>
      </c>
      <c r="U10" s="577">
        <f t="shared" si="6"/>
        <v>1161187.1980312993</v>
      </c>
      <c r="V10" s="579">
        <f t="shared" si="4"/>
        <v>0</v>
      </c>
      <c r="W10" s="574">
        <f>(V10*$W$4)*(Summary!$B$19-Summary!$B$18)</f>
        <v>0</v>
      </c>
      <c r="X10" s="487"/>
      <c r="Z10" s="475">
        <v>1203071.5142716824</v>
      </c>
      <c r="AA10" s="525">
        <f t="shared" si="5"/>
        <v>-41884.316240383079</v>
      </c>
      <c r="AJ10" s="475"/>
      <c r="AK10" s="475"/>
      <c r="AN10" s="475"/>
      <c r="AO10" s="475"/>
      <c r="AP10" s="475"/>
    </row>
    <row r="11" spans="1:42" x14ac:dyDescent="0.25">
      <c r="A11" s="482">
        <v>9257033</v>
      </c>
      <c r="B11" s="480" t="s">
        <v>298</v>
      </c>
      <c r="C11" s="483">
        <v>1.7094017094017096E-2</v>
      </c>
      <c r="D11" s="483">
        <v>0.60683760683760679</v>
      </c>
      <c r="E11" s="483">
        <v>1.7094017094017096E-2</v>
      </c>
      <c r="F11" s="483">
        <v>0.23931623931623933</v>
      </c>
      <c r="G11" s="483">
        <v>0</v>
      </c>
      <c r="H11" s="483">
        <v>5.9829059829059832E-2</v>
      </c>
      <c r="I11" s="483">
        <v>5.9829059829059832E-2</v>
      </c>
      <c r="J11" s="484">
        <v>122.41666666666669</v>
      </c>
      <c r="K11" s="485">
        <f t="shared" si="0"/>
        <v>76.379629629629648</v>
      </c>
      <c r="L11" s="486">
        <f>K11*Summary!$B$18</f>
        <v>225784.35935391858</v>
      </c>
      <c r="M11" s="485">
        <f t="shared" si="1"/>
        <v>38.712962962962976</v>
      </c>
      <c r="N11" s="486">
        <f>M11*Summary!$B$19</f>
        <v>466981.34497246868</v>
      </c>
      <c r="O11" s="485">
        <f t="shared" si="2"/>
        <v>7.3240740740740753</v>
      </c>
      <c r="P11" s="487">
        <f>O11*Summary!$B$21</f>
        <v>220079.88986242839</v>
      </c>
      <c r="Q11" s="488"/>
      <c r="R11" s="487">
        <f t="shared" si="3"/>
        <v>912845.59418881568</v>
      </c>
      <c r="S11" s="488"/>
      <c r="T11" s="487">
        <f>(O11*Summary!$B$25)</f>
        <v>205929.7787513173</v>
      </c>
      <c r="U11" s="487">
        <f t="shared" si="6"/>
        <v>898695.48307770456</v>
      </c>
      <c r="V11" s="573">
        <f t="shared" si="4"/>
        <v>74.287037037037038</v>
      </c>
      <c r="W11" s="574">
        <f>(V11*$W$4)*(Summary!$B$19-Summary!$B$18)</f>
        <v>33825.042557748253</v>
      </c>
      <c r="X11" s="487"/>
      <c r="Z11" s="475">
        <v>898695.48307770456</v>
      </c>
      <c r="AA11" s="525">
        <f t="shared" si="5"/>
        <v>0</v>
      </c>
      <c r="AJ11" s="475"/>
      <c r="AK11" s="475"/>
      <c r="AN11" s="475"/>
      <c r="AO11" s="475"/>
      <c r="AP11" s="475"/>
    </row>
    <row r="12" spans="1:42" x14ac:dyDescent="0.25">
      <c r="A12" s="482">
        <v>9257008</v>
      </c>
      <c r="B12" s="480" t="s">
        <v>299</v>
      </c>
      <c r="C12" s="483">
        <v>0.04</v>
      </c>
      <c r="D12" s="483">
        <v>0.6</v>
      </c>
      <c r="E12" s="483">
        <v>0.02</v>
      </c>
      <c r="F12" s="483">
        <v>0.25</v>
      </c>
      <c r="G12" s="483">
        <v>0</v>
      </c>
      <c r="H12" s="483">
        <v>0.08</v>
      </c>
      <c r="I12" s="483">
        <v>0.01</v>
      </c>
      <c r="J12" s="484">
        <v>101</v>
      </c>
      <c r="K12" s="485">
        <f t="shared" si="0"/>
        <v>64.64</v>
      </c>
      <c r="L12" s="486">
        <f>K12*Summary!$B$18</f>
        <v>191081.06519248729</v>
      </c>
      <c r="M12" s="485">
        <f t="shared" si="1"/>
        <v>35.35</v>
      </c>
      <c r="N12" s="486">
        <f>M12*Summary!$B$19</f>
        <v>426415.06310353754</v>
      </c>
      <c r="O12" s="485">
        <f t="shared" si="2"/>
        <v>1.01</v>
      </c>
      <c r="P12" s="487">
        <f>O12*Summary!$B$21</f>
        <v>30349.322864973055</v>
      </c>
      <c r="Q12" s="488"/>
      <c r="R12" s="487">
        <f t="shared" si="3"/>
        <v>647845.45116099797</v>
      </c>
      <c r="S12" s="488"/>
      <c r="T12" s="487">
        <f>(O12*Summary!$B$25)</f>
        <v>28398.002864973052</v>
      </c>
      <c r="U12" s="487">
        <f t="shared" si="6"/>
        <v>645894.1311609979</v>
      </c>
      <c r="V12" s="573">
        <f t="shared" si="4"/>
        <v>60.599999999999994</v>
      </c>
      <c r="W12" s="574">
        <f>(V12*$W$4)*(Summary!$B$19-Summary!$B$18)</f>
        <v>27592.937620833945</v>
      </c>
      <c r="X12" s="487"/>
      <c r="Z12" s="475">
        <v>645894.1311609979</v>
      </c>
      <c r="AA12" s="525">
        <f t="shared" si="5"/>
        <v>0</v>
      </c>
      <c r="AJ12" s="475"/>
      <c r="AK12" s="475"/>
      <c r="AN12" s="475"/>
      <c r="AO12" s="475"/>
      <c r="AP12" s="475"/>
    </row>
    <row r="13" spans="1:42" x14ac:dyDescent="0.25">
      <c r="A13" s="482">
        <v>9257034</v>
      </c>
      <c r="B13" s="480" t="s">
        <v>300</v>
      </c>
      <c r="C13" s="483">
        <v>0.1417910447761194</v>
      </c>
      <c r="D13" s="483">
        <v>0.54477611940298509</v>
      </c>
      <c r="E13" s="483">
        <v>8.2089552238805971E-2</v>
      </c>
      <c r="F13" s="483">
        <v>0.11940298507462686</v>
      </c>
      <c r="G13" s="483">
        <v>4.4776119402985072E-2</v>
      </c>
      <c r="H13" s="483">
        <v>5.9701492537313432E-2</v>
      </c>
      <c r="I13" s="483">
        <v>7.462686567164179E-3</v>
      </c>
      <c r="J13" s="484">
        <v>155.08333333333337</v>
      </c>
      <c r="K13" s="485">
        <f t="shared" si="0"/>
        <v>106.47512437810947</v>
      </c>
      <c r="L13" s="486">
        <f>K13*Summary!$B$18</f>
        <v>314749.07460816414</v>
      </c>
      <c r="M13" s="485">
        <f t="shared" si="1"/>
        <v>47.450870646766177</v>
      </c>
      <c r="N13" s="486">
        <f>M13*Summary!$B$19</f>
        <v>572383.76240901265</v>
      </c>
      <c r="O13" s="485">
        <f t="shared" si="2"/>
        <v>1.1573383084577118</v>
      </c>
      <c r="P13" s="487">
        <f>O13*Summary!$B$21</f>
        <v>34776.667314242448</v>
      </c>
      <c r="Q13" s="488"/>
      <c r="R13" s="487">
        <f t="shared" si="3"/>
        <v>921909.50433141924</v>
      </c>
      <c r="S13" s="488"/>
      <c r="T13" s="487">
        <f>(O13*Summary!$B$25)</f>
        <v>32540.689702302145</v>
      </c>
      <c r="U13" s="487">
        <f t="shared" si="6"/>
        <v>919673.52671947889</v>
      </c>
      <c r="V13" s="573">
        <f t="shared" si="4"/>
        <v>84.485696517412961</v>
      </c>
      <c r="W13" s="574">
        <f>(V13*$W$4)*(Summary!$B$19-Summary!$B$18)</f>
        <v>38468.788017453524</v>
      </c>
      <c r="X13" s="487"/>
      <c r="Z13" s="475">
        <v>919673.52671947889</v>
      </c>
      <c r="AA13" s="525">
        <f t="shared" si="5"/>
        <v>0</v>
      </c>
      <c r="AJ13" s="475"/>
      <c r="AK13" s="475"/>
      <c r="AN13" s="475"/>
      <c r="AO13" s="475"/>
      <c r="AP13" s="475"/>
    </row>
    <row r="14" spans="1:42" x14ac:dyDescent="0.25">
      <c r="A14" s="482">
        <v>9257009</v>
      </c>
      <c r="B14" s="480" t="s">
        <v>301</v>
      </c>
      <c r="C14" s="483">
        <v>0.12745098039215685</v>
      </c>
      <c r="D14" s="483">
        <v>0.48039215686274511</v>
      </c>
      <c r="E14" s="483">
        <v>8.3333333333333329E-2</v>
      </c>
      <c r="F14" s="483">
        <v>0.10784313725490197</v>
      </c>
      <c r="G14" s="483">
        <v>4.4117647058823532E-2</v>
      </c>
      <c r="H14" s="483">
        <v>9.8039215686274508E-2</v>
      </c>
      <c r="I14" s="483">
        <v>5.8823529411764705E-2</v>
      </c>
      <c r="J14" s="484">
        <v>229.75000000000003</v>
      </c>
      <c r="K14" s="485">
        <f t="shared" si="0"/>
        <v>139.65196078431376</v>
      </c>
      <c r="L14" s="486">
        <f>K14*Summary!$B$18</f>
        <v>412822.4848837583</v>
      </c>
      <c r="M14" s="485">
        <f t="shared" si="1"/>
        <v>76.583333333333343</v>
      </c>
      <c r="N14" s="486">
        <f>M14*Summary!$B$19</f>
        <v>923798.78121676343</v>
      </c>
      <c r="O14" s="485">
        <f t="shared" si="2"/>
        <v>13.514705882352942</v>
      </c>
      <c r="P14" s="487">
        <f>O14*Summary!$B$21</f>
        <v>406101.16064225737</v>
      </c>
      <c r="Q14" s="488"/>
      <c r="R14" s="487">
        <f t="shared" si="3"/>
        <v>1742722.4267427791</v>
      </c>
      <c r="S14" s="488"/>
      <c r="T14" s="487">
        <f>(O14*Summary!$B$25)</f>
        <v>379990.74887755152</v>
      </c>
      <c r="U14" s="487">
        <f t="shared" si="6"/>
        <v>1716612.0149780731</v>
      </c>
      <c r="V14" s="573">
        <f t="shared" si="4"/>
        <v>110.3700980392157</v>
      </c>
      <c r="W14" s="574">
        <f>(V14*$W$4)*(Summary!$B$19-Summary!$B$18)</f>
        <v>50254.706772300429</v>
      </c>
      <c r="X14" s="487"/>
      <c r="Z14" s="475">
        <v>1716612.0149780731</v>
      </c>
      <c r="AA14" s="525">
        <f t="shared" si="5"/>
        <v>0</v>
      </c>
      <c r="AJ14" s="475"/>
      <c r="AK14" s="475"/>
      <c r="AN14" s="475"/>
      <c r="AO14" s="475"/>
      <c r="AP14" s="475"/>
    </row>
    <row r="15" spans="1:42" x14ac:dyDescent="0.25">
      <c r="A15" s="482">
        <v>9257029</v>
      </c>
      <c r="B15" s="480" t="s">
        <v>302</v>
      </c>
      <c r="C15" s="483">
        <v>0</v>
      </c>
      <c r="D15" s="483">
        <v>0</v>
      </c>
      <c r="E15" s="483">
        <v>1</v>
      </c>
      <c r="F15" s="483">
        <v>0</v>
      </c>
      <c r="G15" s="483">
        <v>0</v>
      </c>
      <c r="H15" s="483">
        <v>0</v>
      </c>
      <c r="I15" s="483">
        <v>0</v>
      </c>
      <c r="J15" s="484">
        <v>82</v>
      </c>
      <c r="K15" s="575">
        <f t="shared" si="0"/>
        <v>0</v>
      </c>
      <c r="L15" s="576">
        <f>K15*Summary!$B$18</f>
        <v>0</v>
      </c>
      <c r="M15" s="575">
        <f t="shared" si="1"/>
        <v>82</v>
      </c>
      <c r="N15" s="576">
        <f>M15*Summary!$B$41</f>
        <v>1181601.0370866582</v>
      </c>
      <c r="O15" s="575">
        <f t="shared" si="2"/>
        <v>0</v>
      </c>
      <c r="P15" s="577">
        <f>O15*Summary!$B$21</f>
        <v>0</v>
      </c>
      <c r="Q15" s="578"/>
      <c r="R15" s="577">
        <f t="shared" si="3"/>
        <v>1181601.0370866582</v>
      </c>
      <c r="S15" s="578"/>
      <c r="T15" s="577">
        <f>(O15*Summary!$B$25)</f>
        <v>0</v>
      </c>
      <c r="U15" s="577">
        <f t="shared" si="6"/>
        <v>1181601.0370866582</v>
      </c>
      <c r="V15" s="579">
        <f t="shared" si="4"/>
        <v>0</v>
      </c>
      <c r="W15" s="574">
        <f>(V15*$W$4)*(Summary!$B$19-Summary!$B$18)</f>
        <v>0</v>
      </c>
      <c r="X15" s="487"/>
      <c r="Z15" s="475">
        <v>1224221.6856704606</v>
      </c>
      <c r="AA15" s="525">
        <f t="shared" si="5"/>
        <v>-42620.648583802395</v>
      </c>
      <c r="AJ15" s="475"/>
      <c r="AK15" s="475"/>
      <c r="AN15" s="475"/>
      <c r="AO15" s="475"/>
      <c r="AP15" s="475"/>
    </row>
    <row r="16" spans="1:42" x14ac:dyDescent="0.25">
      <c r="A16" s="482">
        <v>9257032</v>
      </c>
      <c r="B16" s="480" t="s">
        <v>303</v>
      </c>
      <c r="C16" s="483">
        <v>0</v>
      </c>
      <c r="D16" s="483">
        <v>0</v>
      </c>
      <c r="E16" s="483">
        <v>1</v>
      </c>
      <c r="F16" s="483">
        <v>0</v>
      </c>
      <c r="G16" s="483">
        <v>0</v>
      </c>
      <c r="H16" s="483">
        <v>0</v>
      </c>
      <c r="I16" s="483">
        <v>0</v>
      </c>
      <c r="J16" s="484">
        <v>116.16666666666667</v>
      </c>
      <c r="K16" s="575">
        <f t="shared" si="0"/>
        <v>0</v>
      </c>
      <c r="L16" s="576">
        <f>K16*Summary!$B$18</f>
        <v>0</v>
      </c>
      <c r="M16" s="575">
        <f t="shared" si="1"/>
        <v>116.16666666666667</v>
      </c>
      <c r="N16" s="576">
        <f>M16*Summary!$B$41</f>
        <v>1673934.8025394324</v>
      </c>
      <c r="O16" s="575">
        <f t="shared" si="2"/>
        <v>0</v>
      </c>
      <c r="P16" s="577">
        <f>O16*Summary!$B$21</f>
        <v>0</v>
      </c>
      <c r="Q16" s="578"/>
      <c r="R16" s="577">
        <f t="shared" si="3"/>
        <v>1673934.8025394324</v>
      </c>
      <c r="S16" s="578"/>
      <c r="T16" s="577">
        <f>(O16*Summary!$B$25)</f>
        <v>0</v>
      </c>
      <c r="U16" s="577">
        <f t="shared" si="6"/>
        <v>1673934.8025394324</v>
      </c>
      <c r="V16" s="579">
        <f t="shared" si="4"/>
        <v>0</v>
      </c>
      <c r="W16" s="574">
        <f>(V16*$W$4)*(Summary!$B$19-Summary!$B$18)</f>
        <v>0</v>
      </c>
      <c r="X16" s="487"/>
      <c r="Z16" s="475">
        <v>1734314.0546998191</v>
      </c>
      <c r="AA16" s="525">
        <f t="shared" si="5"/>
        <v>-60379.252160386648</v>
      </c>
      <c r="AJ16" s="475"/>
      <c r="AK16" s="475"/>
      <c r="AN16" s="475"/>
      <c r="AO16" s="475"/>
      <c r="AP16" s="475"/>
    </row>
    <row r="17" spans="1:42" x14ac:dyDescent="0.25">
      <c r="A17" s="482">
        <v>9257030</v>
      </c>
      <c r="B17" s="480" t="s">
        <v>304</v>
      </c>
      <c r="C17" s="483">
        <v>0</v>
      </c>
      <c r="D17" s="483">
        <v>0</v>
      </c>
      <c r="E17" s="483">
        <v>1</v>
      </c>
      <c r="F17" s="483">
        <v>0</v>
      </c>
      <c r="G17" s="483">
        <v>0</v>
      </c>
      <c r="H17" s="483">
        <v>0</v>
      </c>
      <c r="I17" s="483">
        <v>0</v>
      </c>
      <c r="J17" s="484">
        <v>81.25</v>
      </c>
      <c r="K17" s="575">
        <f t="shared" si="0"/>
        <v>0</v>
      </c>
      <c r="L17" s="576">
        <f>K17*Summary!$B$18</f>
        <v>0</v>
      </c>
      <c r="M17" s="575">
        <f t="shared" si="1"/>
        <v>81.25</v>
      </c>
      <c r="N17" s="576">
        <f>M17*Summary!$B$41</f>
        <v>1170793.7105279386</v>
      </c>
      <c r="O17" s="575">
        <f t="shared" si="2"/>
        <v>0</v>
      </c>
      <c r="P17" s="577">
        <f>O17*Summary!$B$21</f>
        <v>0</v>
      </c>
      <c r="Q17" s="578"/>
      <c r="R17" s="577">
        <f t="shared" si="3"/>
        <v>1170793.7105279386</v>
      </c>
      <c r="S17" s="578"/>
      <c r="T17" s="577">
        <f>(O17*Summary!$B$25)</f>
        <v>0</v>
      </c>
      <c r="U17" s="577">
        <f t="shared" si="6"/>
        <v>1170793.7105279386</v>
      </c>
      <c r="V17" s="579">
        <f t="shared" si="4"/>
        <v>0</v>
      </c>
      <c r="W17" s="574">
        <f>(V17*$W$4)*(Summary!$B$19-Summary!$B$18)</f>
        <v>0</v>
      </c>
      <c r="X17" s="487"/>
      <c r="Z17" s="475">
        <v>1213024.5361064014</v>
      </c>
      <c r="AA17" s="525">
        <f t="shared" si="5"/>
        <v>-42230.825578462798</v>
      </c>
      <c r="AJ17" s="475"/>
      <c r="AK17" s="475"/>
      <c r="AN17" s="475"/>
      <c r="AO17" s="475"/>
      <c r="AP17" s="475"/>
    </row>
    <row r="18" spans="1:42" x14ac:dyDescent="0.25">
      <c r="A18" s="482">
        <v>9257028</v>
      </c>
      <c r="B18" s="480" t="s">
        <v>305</v>
      </c>
      <c r="C18" s="483">
        <v>2.9629629629629631E-2</v>
      </c>
      <c r="D18" s="483">
        <v>0.31851851851851853</v>
      </c>
      <c r="E18" s="483">
        <v>5.185185185185185E-2</v>
      </c>
      <c r="F18" s="483">
        <v>0.2074074074074074</v>
      </c>
      <c r="G18" s="483">
        <v>5.185185185185185E-2</v>
      </c>
      <c r="H18" s="483">
        <v>0.17777777777777778</v>
      </c>
      <c r="I18" s="483">
        <v>0.16296296296296298</v>
      </c>
      <c r="J18" s="484">
        <v>147</v>
      </c>
      <c r="K18" s="485">
        <f t="shared" si="0"/>
        <v>51.177777777777777</v>
      </c>
      <c r="L18" s="486">
        <f>K18*Summary!$B$18</f>
        <v>151285.64808109813</v>
      </c>
      <c r="M18" s="485">
        <f t="shared" si="1"/>
        <v>71.866666666666674</v>
      </c>
      <c r="N18" s="486">
        <f>M18*Summary!$B$19</f>
        <v>866903.23059993121</v>
      </c>
      <c r="O18" s="485">
        <f t="shared" si="2"/>
        <v>23.955555555555556</v>
      </c>
      <c r="P18" s="487">
        <f>O18*Summary!$B$21</f>
        <v>719836.52471817273</v>
      </c>
      <c r="Q18" s="488"/>
      <c r="R18" s="487">
        <f t="shared" si="3"/>
        <v>1738025.403399202</v>
      </c>
      <c r="S18" s="488"/>
      <c r="T18" s="487">
        <f>(O18*Summary!$B$25)</f>
        <v>673554.39138483943</v>
      </c>
      <c r="U18" s="487">
        <f t="shared" si="6"/>
        <v>1691743.2700658687</v>
      </c>
      <c r="V18" s="573">
        <f t="shared" si="4"/>
        <v>46.822222222222223</v>
      </c>
      <c r="W18" s="574">
        <f>(V18*$W$4)*(Summary!$B$19-Summary!$B$18)</f>
        <v>21319.515792848229</v>
      </c>
      <c r="X18" s="487"/>
      <c r="Z18" s="475">
        <v>1691743.2700658687</v>
      </c>
      <c r="AA18" s="525">
        <f t="shared" si="5"/>
        <v>0</v>
      </c>
      <c r="AJ18" s="475"/>
      <c r="AK18" s="475"/>
      <c r="AN18" s="475"/>
      <c r="AO18" s="475"/>
      <c r="AP18" s="475"/>
    </row>
    <row r="19" spans="1:42" x14ac:dyDescent="0.25">
      <c r="A19" s="482">
        <v>9257021</v>
      </c>
      <c r="B19" s="480" t="s">
        <v>306</v>
      </c>
      <c r="C19" s="483">
        <v>0.12941176470588237</v>
      </c>
      <c r="D19" s="483">
        <v>0.62352941176470589</v>
      </c>
      <c r="E19" s="483">
        <v>0.11176470588235295</v>
      </c>
      <c r="F19" s="483">
        <v>8.2352941176470587E-2</v>
      </c>
      <c r="G19" s="483">
        <v>2.3529411764705882E-2</v>
      </c>
      <c r="H19" s="483">
        <v>1.1764705882352941E-2</v>
      </c>
      <c r="I19" s="483">
        <v>1.7647058823529412E-2</v>
      </c>
      <c r="J19" s="484">
        <v>180</v>
      </c>
      <c r="K19" s="485">
        <f t="shared" si="0"/>
        <v>135.52941176470588</v>
      </c>
      <c r="L19" s="486">
        <f>K19*Summary!$B$18</f>
        <v>400635.89673439384</v>
      </c>
      <c r="M19" s="485">
        <f t="shared" si="1"/>
        <v>41.294117647058826</v>
      </c>
      <c r="N19" s="486">
        <f>M19*Summary!$B$19</f>
        <v>498116.93867823173</v>
      </c>
      <c r="O19" s="485">
        <f t="shared" si="2"/>
        <v>3.1764705882352939</v>
      </c>
      <c r="P19" s="487">
        <f>O19*Summary!$B$21</f>
        <v>95449.239062815657</v>
      </c>
      <c r="Q19" s="488"/>
      <c r="R19" s="487">
        <f t="shared" si="3"/>
        <v>994202.07447544124</v>
      </c>
      <c r="S19" s="488"/>
      <c r="T19" s="487">
        <f>(O19*Summary!$B$25)</f>
        <v>89312.29788634507</v>
      </c>
      <c r="U19" s="487">
        <f t="shared" si="6"/>
        <v>988065.13329897064</v>
      </c>
      <c r="V19" s="573">
        <f t="shared" si="4"/>
        <v>112.23529411764706</v>
      </c>
      <c r="W19" s="574">
        <f>(V19*$W$4)*(Summary!$B$19-Summary!$B$18)</f>
        <v>51103.984644293509</v>
      </c>
      <c r="X19" s="487"/>
      <c r="Z19" s="475">
        <v>988065.13329897064</v>
      </c>
      <c r="AA19" s="525">
        <f t="shared" si="5"/>
        <v>0</v>
      </c>
      <c r="AJ19" s="475"/>
      <c r="AK19" s="475"/>
      <c r="AN19" s="475"/>
      <c r="AO19" s="475"/>
      <c r="AP19" s="475"/>
    </row>
    <row r="20" spans="1:42" x14ac:dyDescent="0.25">
      <c r="A20" s="482">
        <v>9257015</v>
      </c>
      <c r="B20" s="480" t="s">
        <v>307</v>
      </c>
      <c r="C20" s="483">
        <v>1.6556291390728478E-2</v>
      </c>
      <c r="D20" s="483">
        <v>0.29139072847682118</v>
      </c>
      <c r="E20" s="483">
        <v>1.3245033112582781E-2</v>
      </c>
      <c r="F20" s="483">
        <v>0.34768211920529801</v>
      </c>
      <c r="G20" s="483">
        <v>2.3178807947019868E-2</v>
      </c>
      <c r="H20" s="483">
        <v>0.27814569536423839</v>
      </c>
      <c r="I20" s="483">
        <v>2.9801324503311258E-2</v>
      </c>
      <c r="J20" s="484">
        <v>325.91666666666669</v>
      </c>
      <c r="K20" s="485">
        <f t="shared" si="0"/>
        <v>100.36506622516558</v>
      </c>
      <c r="L20" s="486">
        <f>K20*Summary!$B$18</f>
        <v>296687.24879980151</v>
      </c>
      <c r="M20" s="485">
        <f t="shared" si="1"/>
        <v>215.83885209713029</v>
      </c>
      <c r="N20" s="486">
        <f>M20*Summary!$B$19</f>
        <v>2603590.8836546792</v>
      </c>
      <c r="O20" s="485">
        <f t="shared" si="2"/>
        <v>9.712748344370862</v>
      </c>
      <c r="P20" s="487">
        <f>O20*Summary!$B$21</f>
        <v>291856.76773222157</v>
      </c>
      <c r="Q20" s="488"/>
      <c r="R20" s="487">
        <f t="shared" si="3"/>
        <v>3192134.9001867021</v>
      </c>
      <c r="S20" s="488"/>
      <c r="T20" s="487">
        <f>(O20*Summary!$B$25)</f>
        <v>273091.73793089704</v>
      </c>
      <c r="U20" s="487">
        <f t="shared" si="6"/>
        <v>3173369.8703853777</v>
      </c>
      <c r="V20" s="573">
        <f t="shared" si="4"/>
        <v>94.969094922737312</v>
      </c>
      <c r="W20" s="574">
        <f>(V20*$W$4)*(Summary!$B$19-Summary!$B$18)</f>
        <v>43242.18336815427</v>
      </c>
      <c r="X20" s="487"/>
      <c r="Z20" s="475">
        <v>3173369.8703853777</v>
      </c>
      <c r="AA20" s="525">
        <f t="shared" si="5"/>
        <v>0</v>
      </c>
      <c r="AJ20" s="475"/>
      <c r="AK20" s="475"/>
      <c r="AN20" s="475"/>
      <c r="AO20" s="475"/>
      <c r="AP20" s="475"/>
    </row>
    <row r="21" spans="1:42" x14ac:dyDescent="0.25">
      <c r="A21" s="482">
        <v>9257016</v>
      </c>
      <c r="B21" s="480" t="s">
        <v>308</v>
      </c>
      <c r="C21" s="483">
        <v>0</v>
      </c>
      <c r="D21" s="483">
        <v>6.9767441860465115E-2</v>
      </c>
      <c r="E21" s="483">
        <v>5.8139534883720929E-3</v>
      </c>
      <c r="F21" s="483">
        <v>0.28488372093023256</v>
      </c>
      <c r="G21" s="483">
        <v>0.13372093023255813</v>
      </c>
      <c r="H21" s="483">
        <v>6.3953488372093026E-2</v>
      </c>
      <c r="I21" s="483">
        <v>0.44186046511627908</v>
      </c>
      <c r="J21" s="484">
        <v>171.33333333333334</v>
      </c>
      <c r="K21" s="485">
        <f t="shared" si="0"/>
        <v>11.953488372093023</v>
      </c>
      <c r="L21" s="486">
        <f>K21*Summary!$B$18</f>
        <v>35335.477891484312</v>
      </c>
      <c r="M21" s="485">
        <f t="shared" si="1"/>
        <v>83.674418604651166</v>
      </c>
      <c r="N21" s="486">
        <f>M21*Summary!$B$19</f>
        <v>1009336.1383155345</v>
      </c>
      <c r="O21" s="485">
        <f t="shared" si="2"/>
        <v>75.705426356589157</v>
      </c>
      <c r="P21" s="487">
        <f>O21*Summary!$B$21</f>
        <v>2274859.8288381831</v>
      </c>
      <c r="Q21" s="488"/>
      <c r="R21" s="487">
        <f t="shared" si="3"/>
        <v>3319531.445045202</v>
      </c>
      <c r="S21" s="488"/>
      <c r="T21" s="487">
        <f>(O21*Summary!$B$25)</f>
        <v>2128596.9451172529</v>
      </c>
      <c r="U21" s="487">
        <f t="shared" si="6"/>
        <v>3173268.5613242714</v>
      </c>
      <c r="V21" s="573">
        <f t="shared" si="4"/>
        <v>11.953488372093023</v>
      </c>
      <c r="W21" s="574">
        <f>(V21*$W$4)*(Summary!$B$19-Summary!$B$18)</f>
        <v>5442.7699505367445</v>
      </c>
      <c r="X21" s="487"/>
      <c r="Z21" s="475">
        <v>3173268.5613242714</v>
      </c>
      <c r="AA21" s="525">
        <f t="shared" si="5"/>
        <v>0</v>
      </c>
      <c r="AJ21" s="475"/>
      <c r="AK21" s="475"/>
      <c r="AN21" s="475"/>
      <c r="AO21" s="475"/>
      <c r="AP21" s="475"/>
    </row>
    <row r="22" spans="1:42" ht="13" x14ac:dyDescent="0.3">
      <c r="A22" s="490"/>
      <c r="C22" s="491"/>
      <c r="D22" s="491"/>
      <c r="E22" s="491"/>
      <c r="F22" s="491"/>
      <c r="G22" s="491"/>
      <c r="H22" s="491"/>
      <c r="I22" s="491"/>
      <c r="J22" s="492">
        <f>SUM(J6:J21)</f>
        <v>2425.166666666667</v>
      </c>
      <c r="K22" s="493">
        <f>SUM(K6:K21)/$J$22</f>
        <v>0.42707386517234136</v>
      </c>
      <c r="L22" s="494">
        <f>SUM(L6:L21)</f>
        <v>3061687.7159170704</v>
      </c>
      <c r="M22" s="493">
        <f>SUM(M6:M21)/$J$22</f>
        <v>0.49904124458687787</v>
      </c>
      <c r="N22" s="494">
        <f>SUM(N6:N21)</f>
        <v>15443892.998614749</v>
      </c>
      <c r="O22" s="493">
        <f t="shared" ref="O22" si="7">SUM(O6:O21)/$J$22</f>
        <v>7.3884890240780834E-2</v>
      </c>
      <c r="P22" s="494">
        <f>SUM(P6:P21)</f>
        <v>5384245.5136724133</v>
      </c>
      <c r="Q22" s="495"/>
      <c r="R22" s="494">
        <f>SUM(R6:R21)</f>
        <v>23889826.228204235</v>
      </c>
      <c r="S22" s="495"/>
      <c r="T22" s="538">
        <f>SUM(T6:T21)</f>
        <v>5038063.6234706733</v>
      </c>
      <c r="U22" s="538">
        <f>SUM(U6:U21)</f>
        <v>23543644.338002495</v>
      </c>
      <c r="V22" s="558">
        <f>SUM(V6:V21)</f>
        <v>892.78984889836977</v>
      </c>
      <c r="W22" s="496">
        <f>SUM(W6:W21)</f>
        <v>406513.11236248323</v>
      </c>
      <c r="X22" s="496"/>
      <c r="Z22" s="475">
        <v>23730759.380565535</v>
      </c>
      <c r="AA22" s="525">
        <f t="shared" si="5"/>
        <v>-187115.04256303981</v>
      </c>
      <c r="AJ22" s="475"/>
      <c r="AK22" s="475"/>
      <c r="AN22" s="475"/>
      <c r="AO22" s="475"/>
      <c r="AP22" s="475"/>
    </row>
    <row r="23" spans="1:42" x14ac:dyDescent="0.25">
      <c r="A23" s="490"/>
      <c r="C23" s="491"/>
      <c r="D23" s="491"/>
      <c r="F23" s="491"/>
      <c r="G23" s="491"/>
      <c r="H23" s="491"/>
      <c r="I23" s="491"/>
      <c r="J23" s="491"/>
      <c r="W23" s="496"/>
      <c r="X23" s="496"/>
      <c r="AJ23" s="475"/>
      <c r="AK23" s="475"/>
      <c r="AN23" s="475"/>
      <c r="AO23" s="475"/>
      <c r="AP23" s="475"/>
    </row>
    <row r="24" spans="1:42" x14ac:dyDescent="0.25">
      <c r="U24" s="496">
        <f>U22-R22</f>
        <v>-346181.89020173997</v>
      </c>
      <c r="W24" s="525"/>
      <c r="X24" s="525"/>
    </row>
  </sheetData>
  <mergeCells count="2">
    <mergeCell ref="K4:R4"/>
    <mergeCell ref="T4:U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E1C9-FB11-4678-A9A3-2B41E140EC73}">
  <dimension ref="A1:P97"/>
  <sheetViews>
    <sheetView topLeftCell="B7" zoomScaleNormal="100" workbookViewId="0">
      <selection activeCell="E25" sqref="E25"/>
    </sheetView>
  </sheetViews>
  <sheetFormatPr defaultColWidth="8.7265625" defaultRowHeight="12.5" x14ac:dyDescent="0.25"/>
  <cols>
    <col min="1" max="1" width="21.81640625" style="306" customWidth="1"/>
    <col min="2" max="14" width="15.54296875" style="306" customWidth="1"/>
    <col min="15" max="15" width="96" style="306" bestFit="1" customWidth="1"/>
    <col min="16" max="16" width="47.1796875" style="306" bestFit="1" customWidth="1"/>
    <col min="17" max="24" width="15.54296875" style="306" customWidth="1"/>
    <col min="25" max="16384" width="8.7265625" style="306"/>
  </cols>
  <sheetData>
    <row r="1" spans="1:16" ht="13" x14ac:dyDescent="0.3">
      <c r="F1" s="136" t="s">
        <v>219</v>
      </c>
      <c r="I1" s="136" t="s">
        <v>11</v>
      </c>
      <c r="L1" s="306" t="s">
        <v>26</v>
      </c>
    </row>
    <row r="2" spans="1:16" x14ac:dyDescent="0.25">
      <c r="F2" s="306" t="s">
        <v>220</v>
      </c>
      <c r="G2" s="442">
        <f>44.6/52.14</f>
        <v>0.85538933640199466</v>
      </c>
      <c r="I2" s="306" t="s">
        <v>13</v>
      </c>
      <c r="J2" s="430">
        <v>0</v>
      </c>
      <c r="L2" s="306" t="s">
        <v>169</v>
      </c>
      <c r="M2" s="431">
        <v>0.2868</v>
      </c>
    </row>
    <row r="3" spans="1:16" x14ac:dyDescent="0.25">
      <c r="F3" s="306" t="s">
        <v>221</v>
      </c>
      <c r="G3" s="442">
        <f>45.47/52.14</f>
        <v>0.8720751822017645</v>
      </c>
      <c r="I3" s="306" t="s">
        <v>14</v>
      </c>
      <c r="J3" s="430">
        <v>0.15</v>
      </c>
      <c r="L3" s="306" t="s">
        <v>168</v>
      </c>
      <c r="M3" s="433">
        <v>0.17799999999999999</v>
      </c>
    </row>
    <row r="5" spans="1:16" x14ac:dyDescent="0.25">
      <c r="F5" s="307" t="s">
        <v>138</v>
      </c>
      <c r="G5" s="307"/>
      <c r="H5" s="307"/>
      <c r="I5" s="307"/>
      <c r="J5" s="307"/>
    </row>
    <row r="6" spans="1:16" ht="42" x14ac:dyDescent="0.25">
      <c r="A6" s="429" t="s">
        <v>130</v>
      </c>
      <c r="B6" s="429" t="s">
        <v>131</v>
      </c>
      <c r="C6" s="429" t="s">
        <v>22</v>
      </c>
      <c r="D6" s="429" t="s">
        <v>132</v>
      </c>
      <c r="E6" s="429" t="s">
        <v>133</v>
      </c>
      <c r="F6" s="429" t="s">
        <v>134</v>
      </c>
      <c r="G6" s="429" t="s">
        <v>224</v>
      </c>
      <c r="H6" s="429" t="s">
        <v>137</v>
      </c>
      <c r="I6" s="429" t="s">
        <v>135</v>
      </c>
      <c r="J6" s="429" t="s">
        <v>26</v>
      </c>
      <c r="K6" s="429" t="s">
        <v>170</v>
      </c>
      <c r="L6" s="429" t="s">
        <v>136</v>
      </c>
      <c r="M6" s="429" t="s">
        <v>171</v>
      </c>
      <c r="N6" s="429" t="s">
        <v>27</v>
      </c>
      <c r="O6" s="429" t="s">
        <v>172</v>
      </c>
    </row>
    <row r="8" spans="1:16" s="434" customFormat="1" x14ac:dyDescent="0.25">
      <c r="A8" s="434" t="s">
        <v>167</v>
      </c>
      <c r="B8" s="434" t="s">
        <v>193</v>
      </c>
      <c r="C8" s="434" t="str">
        <f>Teacher!B15</f>
        <v>Main Pay Range</v>
      </c>
      <c r="D8" s="435" t="str">
        <f>Teacher!D19</f>
        <v>M5</v>
      </c>
      <c r="E8" s="443">
        <v>1</v>
      </c>
      <c r="F8" s="437">
        <f>Teacher!E19</f>
        <v>42057</v>
      </c>
      <c r="G8" s="437">
        <f>Teacher!E52</f>
        <v>2786</v>
      </c>
      <c r="H8" s="437">
        <f>0.1*(Teacher!E16+Teacher!E52)</f>
        <v>3760.8</v>
      </c>
      <c r="I8" s="438">
        <f>IF(F8+G8+H8&gt;5000,(F8+G8+H8-5000)*$J$3,"ERROR")</f>
        <v>6540.5700000000006</v>
      </c>
      <c r="J8" s="437">
        <f>(F8+G8+H8)*$M$2</f>
        <v>13939.56984</v>
      </c>
      <c r="K8" s="437">
        <f>SUM(F8:J8)</f>
        <v>69083.939840000006</v>
      </c>
      <c r="L8" s="438">
        <v>1108</v>
      </c>
      <c r="M8" s="437"/>
      <c r="N8" s="468">
        <f>SUM(K8:M8)</f>
        <v>70191.939840000006</v>
      </c>
      <c r="O8" s="434" t="s">
        <v>176</v>
      </c>
    </row>
    <row r="9" spans="1:16" s="434" customFormat="1" x14ac:dyDescent="0.25">
      <c r="D9" s="436"/>
      <c r="E9" s="443"/>
      <c r="F9" s="437"/>
      <c r="G9" s="437"/>
      <c r="H9" s="437"/>
      <c r="I9" s="437"/>
      <c r="J9" s="437"/>
      <c r="K9" s="437"/>
      <c r="L9" s="437"/>
      <c r="M9" s="437"/>
      <c r="N9" s="437"/>
    </row>
    <row r="10" spans="1:16" s="434" customFormat="1" x14ac:dyDescent="0.25">
      <c r="A10" s="434" t="s">
        <v>173</v>
      </c>
      <c r="B10" s="434" t="s">
        <v>174</v>
      </c>
      <c r="C10" s="434" t="s">
        <v>214</v>
      </c>
      <c r="D10" s="436">
        <f>'TA - over 5 years'!D22</f>
        <v>9</v>
      </c>
      <c r="E10" s="443">
        <v>1</v>
      </c>
      <c r="F10" s="437">
        <f>'TA - over 5 years'!F22</f>
        <v>22725.381346153845</v>
      </c>
      <c r="G10" s="437"/>
      <c r="H10" s="437"/>
      <c r="I10" s="438">
        <f>IF(F10&gt;5000,(F10-5000)*$J$3,"ERROR")</f>
        <v>2658.8072019230767</v>
      </c>
      <c r="J10" s="437">
        <f>F10*$M$3</f>
        <v>4045.117879615384</v>
      </c>
      <c r="K10" s="437">
        <f>SUM(F10:J10)</f>
        <v>29429.306427692303</v>
      </c>
      <c r="L10" s="437">
        <v>498</v>
      </c>
      <c r="M10" s="437"/>
      <c r="N10" s="468">
        <f>SUM(K10:M10)</f>
        <v>29927.306427692303</v>
      </c>
      <c r="O10" s="434" t="s">
        <v>175</v>
      </c>
    </row>
    <row r="11" spans="1:16" s="434" customFormat="1" x14ac:dyDescent="0.25">
      <c r="D11" s="436"/>
      <c r="E11" s="443"/>
      <c r="F11" s="437"/>
      <c r="G11" s="437"/>
      <c r="H11" s="437"/>
      <c r="I11" s="438"/>
      <c r="J11" s="437"/>
      <c r="K11" s="437"/>
      <c r="L11" s="437"/>
      <c r="M11" s="437"/>
      <c r="N11" s="437"/>
    </row>
    <row r="12" spans="1:16" s="434" customFormat="1" x14ac:dyDescent="0.25">
      <c r="A12" s="434" t="s">
        <v>173</v>
      </c>
      <c r="B12" s="434" t="s">
        <v>174</v>
      </c>
      <c r="C12" s="306" t="s">
        <v>215</v>
      </c>
      <c r="D12" s="307">
        <v>15</v>
      </c>
      <c r="E12" s="442">
        <v>1</v>
      </c>
      <c r="F12" s="432">
        <f>'TA - over 5 years'!F28</f>
        <v>26253.67846153846</v>
      </c>
      <c r="G12" s="432"/>
      <c r="H12" s="432"/>
      <c r="I12" s="438">
        <f>IF(F12&gt;5000,(F12-5000)*$J$3,"ERROR")</f>
        <v>3188.051769230769</v>
      </c>
      <c r="J12" s="437">
        <f>F12*$M$3</f>
        <v>4673.1547661538461</v>
      </c>
      <c r="K12" s="437">
        <f>SUM(F12:J12)</f>
        <v>34114.88499692308</v>
      </c>
      <c r="L12" s="437">
        <v>498</v>
      </c>
      <c r="M12" s="437"/>
      <c r="N12" s="468">
        <f>SUM(K12:M12)</f>
        <v>34612.88499692308</v>
      </c>
      <c r="O12" s="306"/>
    </row>
    <row r="13" spans="1:16" s="434" customFormat="1" x14ac:dyDescent="0.25">
      <c r="D13" s="436"/>
      <c r="E13" s="443"/>
      <c r="F13" s="437"/>
      <c r="G13" s="437"/>
      <c r="H13" s="437"/>
      <c r="I13" s="438"/>
      <c r="J13" s="437"/>
      <c r="K13" s="437"/>
      <c r="L13" s="437"/>
      <c r="M13" s="437"/>
      <c r="N13" s="437"/>
    </row>
    <row r="14" spans="1:16" s="434" customFormat="1" x14ac:dyDescent="0.25">
      <c r="A14" s="434" t="s">
        <v>173</v>
      </c>
      <c r="B14" s="434" t="s">
        <v>174</v>
      </c>
      <c r="C14" s="306" t="s">
        <v>216</v>
      </c>
      <c r="D14" s="439" t="s">
        <v>203</v>
      </c>
      <c r="E14" s="442" t="s">
        <v>204</v>
      </c>
      <c r="F14" s="432">
        <f>((F12-F10)/2)+F10</f>
        <v>24489.529903846153</v>
      </c>
      <c r="G14" s="432"/>
      <c r="H14" s="432"/>
      <c r="I14" s="438">
        <f>IF(F14&gt;5000,(F14-5000)*$J$3,"ERROR")</f>
        <v>2923.4294855769226</v>
      </c>
      <c r="J14" s="437">
        <f>F14*$M$3</f>
        <v>4359.1363228846149</v>
      </c>
      <c r="K14" s="437">
        <f>SUM(F14:J14)</f>
        <v>31772.095712307688</v>
      </c>
      <c r="L14" s="437">
        <v>498</v>
      </c>
      <c r="M14" s="432"/>
      <c r="N14" s="468">
        <f>SUM(K14:M14)</f>
        <v>32270.095712307688</v>
      </c>
      <c r="O14" s="306"/>
    </row>
    <row r="15" spans="1:16" x14ac:dyDescent="0.25">
      <c r="D15" s="307"/>
      <c r="E15" s="442"/>
      <c r="F15" s="432"/>
      <c r="G15" s="432"/>
      <c r="H15" s="432"/>
      <c r="I15" s="432"/>
      <c r="J15" s="432"/>
      <c r="K15" s="432"/>
      <c r="L15" s="432"/>
      <c r="M15" s="432"/>
      <c r="N15" s="432"/>
    </row>
    <row r="16" spans="1:16" x14ac:dyDescent="0.25">
      <c r="A16" s="306" t="s">
        <v>177</v>
      </c>
      <c r="B16" s="306" t="s">
        <v>168</v>
      </c>
      <c r="C16" s="306" t="s">
        <v>206</v>
      </c>
      <c r="D16" s="307">
        <v>5</v>
      </c>
      <c r="E16" s="442">
        <f>(6.25/37)*G2</f>
        <v>0.14449144195979638</v>
      </c>
      <c r="F16" s="432">
        <f>E16*GLEA!E21</f>
        <v>3562.7254844026993</v>
      </c>
      <c r="G16" s="432"/>
      <c r="H16" s="432"/>
      <c r="I16" s="438" t="str">
        <f>IF(F16&gt;5000,(F16-5000)*$J$3,"ERROR")</f>
        <v>ERROR</v>
      </c>
      <c r="J16" s="437">
        <f>F16*$M$3</f>
        <v>634.16513622368041</v>
      </c>
      <c r="K16" s="437">
        <f>SUM(F16:J16)</f>
        <v>4196.89062062638</v>
      </c>
      <c r="L16" s="437"/>
      <c r="M16" s="437"/>
      <c r="N16" s="468">
        <f>SUM(K16:M16)</f>
        <v>4196.89062062638</v>
      </c>
      <c r="O16" s="306" t="s">
        <v>218</v>
      </c>
      <c r="P16" s="440" t="s">
        <v>205</v>
      </c>
    </row>
    <row r="17" spans="1:16" x14ac:dyDescent="0.25">
      <c r="D17" s="307"/>
      <c r="E17" s="442"/>
      <c r="F17" s="432"/>
      <c r="G17" s="432"/>
      <c r="H17" s="432"/>
      <c r="I17" s="432"/>
      <c r="J17" s="432"/>
      <c r="K17" s="432"/>
      <c r="L17" s="432"/>
      <c r="M17" s="432"/>
      <c r="N17" s="432"/>
    </row>
    <row r="18" spans="1:16" x14ac:dyDescent="0.25">
      <c r="A18" s="306" t="s">
        <v>789</v>
      </c>
      <c r="B18" s="434" t="s">
        <v>193</v>
      </c>
      <c r="C18" s="434" t="str">
        <f>Teacher!B15</f>
        <v>Main Pay Range</v>
      </c>
      <c r="D18" s="435" t="str">
        <f>Teacher!D19</f>
        <v>M5</v>
      </c>
      <c r="E18" s="443">
        <v>1</v>
      </c>
      <c r="F18" s="437">
        <f>Teacher!E19</f>
        <v>42057</v>
      </c>
      <c r="G18" s="437">
        <f>Teacher!E52</f>
        <v>2786</v>
      </c>
      <c r="H18" s="432"/>
      <c r="I18" s="438">
        <f>IF(F18&gt;5000,(F18-5000)*$J$3,"ERROR")</f>
        <v>5558.55</v>
      </c>
      <c r="J18" s="437">
        <f>F18*$M$3</f>
        <v>7486.1459999999997</v>
      </c>
      <c r="K18" s="437">
        <f>SUM(F18:J18)</f>
        <v>57887.696000000004</v>
      </c>
      <c r="L18" s="437">
        <v>498</v>
      </c>
      <c r="M18" s="432"/>
      <c r="N18" s="437">
        <f>SUM(K18:M18)</f>
        <v>58385.696000000004</v>
      </c>
      <c r="P18" s="440" t="s">
        <v>195</v>
      </c>
    </row>
    <row r="19" spans="1:16" x14ac:dyDescent="0.25">
      <c r="D19" s="307"/>
      <c r="E19" s="442"/>
      <c r="F19" s="432"/>
      <c r="G19" s="432"/>
      <c r="H19" s="432"/>
      <c r="I19" s="432"/>
      <c r="J19" s="432"/>
      <c r="K19" s="432"/>
      <c r="L19" s="432"/>
      <c r="M19" s="432"/>
      <c r="N19" s="432"/>
    </row>
    <row r="20" spans="1:16" x14ac:dyDescent="0.25">
      <c r="A20" s="306" t="s">
        <v>178</v>
      </c>
      <c r="B20" s="306" t="s">
        <v>194</v>
      </c>
      <c r="D20" s="307" t="s">
        <v>222</v>
      </c>
      <c r="E20" s="442">
        <v>1</v>
      </c>
      <c r="F20" s="432">
        <f>Leadership!E36</f>
        <v>83858.320000000007</v>
      </c>
      <c r="G20" s="432"/>
      <c r="H20" s="432"/>
      <c r="I20" s="438">
        <f>IF(F20+G20+H20&gt;5000,(F20+G20+H20-5000)*$J$3,"ERROR")</f>
        <v>11828.748000000001</v>
      </c>
      <c r="J20" s="437">
        <f>(F20+G20+H20)*$M$2</f>
        <v>24050.566176</v>
      </c>
      <c r="K20" s="437">
        <f>SUM(F20:J20)</f>
        <v>119737.63417600002</v>
      </c>
      <c r="L20" s="438">
        <v>1108</v>
      </c>
      <c r="M20" s="432"/>
      <c r="N20" s="437">
        <f>SUM(K20:M20)</f>
        <v>120845.63417600002</v>
      </c>
      <c r="O20" s="306" t="s">
        <v>200</v>
      </c>
    </row>
    <row r="21" spans="1:16" x14ac:dyDescent="0.25">
      <c r="D21" s="307"/>
      <c r="E21" s="442"/>
      <c r="F21" s="432"/>
      <c r="G21" s="432"/>
      <c r="H21" s="432"/>
      <c r="I21" s="432"/>
      <c r="J21" s="432"/>
      <c r="K21" s="432"/>
      <c r="L21" s="432"/>
      <c r="M21" s="432"/>
      <c r="N21" s="432"/>
    </row>
    <row r="22" spans="1:16" x14ac:dyDescent="0.25">
      <c r="A22" s="306" t="s">
        <v>179</v>
      </c>
      <c r="B22" s="306" t="s">
        <v>194</v>
      </c>
      <c r="D22" s="307">
        <v>12</v>
      </c>
      <c r="E22" s="442">
        <v>1</v>
      </c>
      <c r="F22" s="432">
        <f>Leadership!E26</f>
        <v>67897.440000000002</v>
      </c>
      <c r="G22" s="432"/>
      <c r="H22" s="432"/>
      <c r="I22" s="438">
        <f>IF(F22+G22+H22&gt;5000,(F22+G22+H22-5000)*$J$3,"ERROR")</f>
        <v>9434.616</v>
      </c>
      <c r="J22" s="437">
        <f>(F22+G22+H22)*$M$2</f>
        <v>19472.985791999999</v>
      </c>
      <c r="K22" s="437">
        <f>SUM(F22:J22)</f>
        <v>96805.041792000004</v>
      </c>
      <c r="L22" s="438">
        <v>1108</v>
      </c>
      <c r="M22" s="432"/>
      <c r="N22" s="437">
        <f>SUM(K22:M22)</f>
        <v>97913.041792000004</v>
      </c>
    </row>
    <row r="23" spans="1:16" x14ac:dyDescent="0.25">
      <c r="D23" s="307"/>
      <c r="E23" s="442"/>
      <c r="F23" s="432"/>
      <c r="G23" s="432"/>
      <c r="H23" s="432"/>
      <c r="I23" s="432"/>
      <c r="J23" s="432"/>
      <c r="K23" s="432"/>
      <c r="L23" s="432"/>
      <c r="M23" s="432"/>
      <c r="N23" s="432"/>
    </row>
    <row r="24" spans="1:16" x14ac:dyDescent="0.25">
      <c r="A24" s="306" t="s">
        <v>179</v>
      </c>
      <c r="B24" s="306" t="s">
        <v>194</v>
      </c>
      <c r="D24" s="307">
        <v>8</v>
      </c>
      <c r="E24" s="442">
        <v>1</v>
      </c>
      <c r="F24" s="432">
        <f>Leadership!E22*E24</f>
        <v>61533.68</v>
      </c>
      <c r="G24" s="432"/>
      <c r="H24" s="432"/>
      <c r="I24" s="438">
        <f>IF(F24+G24+H24&gt;5000,(F24+G24+H24-5000)*$J$3,"ERROR")</f>
        <v>8480.0519999999997</v>
      </c>
      <c r="J24" s="437">
        <f>(F24+G24+H24)*$M$2</f>
        <v>17647.859423999998</v>
      </c>
      <c r="K24" s="437">
        <f>SUM(F24:J24)</f>
        <v>87661.591423999998</v>
      </c>
      <c r="L24" s="438">
        <v>1108</v>
      </c>
      <c r="M24" s="432"/>
      <c r="N24" s="437">
        <f>SUM(K24:M24)</f>
        <v>88769.591423999998</v>
      </c>
    </row>
    <row r="25" spans="1:16" x14ac:dyDescent="0.25">
      <c r="D25" s="307"/>
      <c r="E25" s="442"/>
      <c r="F25" s="432"/>
      <c r="G25" s="432"/>
      <c r="H25" s="432"/>
      <c r="I25" s="432"/>
      <c r="J25" s="432"/>
      <c r="K25" s="432"/>
      <c r="L25" s="432"/>
      <c r="M25" s="432"/>
      <c r="N25" s="432"/>
    </row>
    <row r="26" spans="1:16" x14ac:dyDescent="0.25">
      <c r="A26" s="306" t="s">
        <v>180</v>
      </c>
      <c r="B26" s="306" t="s">
        <v>168</v>
      </c>
      <c r="C26" s="306" t="s">
        <v>184</v>
      </c>
      <c r="D26" s="307">
        <v>24</v>
      </c>
      <c r="E26" s="442">
        <f>G3</f>
        <v>0.8720751822017645</v>
      </c>
      <c r="F26" s="432">
        <f>E26*GLEA!E40</f>
        <v>34143.487533563486</v>
      </c>
      <c r="G26" s="432"/>
      <c r="H26" s="432"/>
      <c r="I26" s="438">
        <f>IF(F26&gt;5000,(F26-5000)*$J$3,"ERROR")</f>
        <v>4371.5231300345231</v>
      </c>
      <c r="J26" s="437">
        <f>F26*$M$3</f>
        <v>6077.5407809743001</v>
      </c>
      <c r="K26" s="437">
        <f>SUM(F26:J26)</f>
        <v>44592.551444572309</v>
      </c>
      <c r="L26" s="437">
        <v>498</v>
      </c>
      <c r="M26" s="432"/>
      <c r="N26" s="437">
        <f>SUM(K26:M26)</f>
        <v>45090.551444572309</v>
      </c>
      <c r="O26" s="306" t="s">
        <v>183</v>
      </c>
      <c r="P26" s="440" t="s">
        <v>207</v>
      </c>
    </row>
    <row r="27" spans="1:16" x14ac:dyDescent="0.25">
      <c r="D27" s="307"/>
      <c r="E27" s="442"/>
      <c r="F27" s="432"/>
      <c r="G27" s="432"/>
      <c r="H27" s="432"/>
      <c r="I27" s="432"/>
      <c r="J27" s="432"/>
      <c r="K27" s="432"/>
      <c r="L27" s="432"/>
      <c r="M27" s="432"/>
      <c r="N27" s="432"/>
    </row>
    <row r="28" spans="1:16" x14ac:dyDescent="0.25">
      <c r="A28" s="306" t="s">
        <v>181</v>
      </c>
      <c r="B28" s="306" t="s">
        <v>168</v>
      </c>
      <c r="C28" s="306" t="s">
        <v>188</v>
      </c>
      <c r="D28" s="307">
        <v>18</v>
      </c>
      <c r="E28" s="442">
        <f>G3</f>
        <v>0.8720751822017645</v>
      </c>
      <c r="F28" s="432">
        <f>E28*GLEA!E34</f>
        <v>28427.034714230918</v>
      </c>
      <c r="G28" s="432"/>
      <c r="H28" s="432"/>
      <c r="I28" s="438">
        <f>IF(F28&gt;5000,(F28-5000)*$J$3,"ERROR")</f>
        <v>3514.0552071346378</v>
      </c>
      <c r="J28" s="437">
        <f>F28*$M$3</f>
        <v>5060.012179133103</v>
      </c>
      <c r="K28" s="437">
        <f>SUM(F28:J28)</f>
        <v>37001.102100498661</v>
      </c>
      <c r="L28" s="437">
        <v>498</v>
      </c>
      <c r="M28" s="432"/>
      <c r="N28" s="437">
        <f>SUM(K28:M28)</f>
        <v>37499.102100498661</v>
      </c>
      <c r="O28" s="306" t="s">
        <v>182</v>
      </c>
      <c r="P28" s="440" t="s">
        <v>209</v>
      </c>
    </row>
    <row r="29" spans="1:16" x14ac:dyDescent="0.25">
      <c r="D29" s="307"/>
      <c r="E29" s="442"/>
      <c r="F29" s="432"/>
      <c r="G29" s="432"/>
      <c r="H29" s="432"/>
      <c r="I29" s="432"/>
      <c r="J29" s="432"/>
      <c r="K29" s="432"/>
      <c r="L29" s="432"/>
      <c r="M29" s="432"/>
      <c r="N29" s="432"/>
    </row>
    <row r="30" spans="1:16" x14ac:dyDescent="0.25">
      <c r="A30" s="306" t="s">
        <v>181</v>
      </c>
      <c r="B30" s="306" t="s">
        <v>168</v>
      </c>
      <c r="C30" s="306" t="s">
        <v>182</v>
      </c>
      <c r="D30" s="307">
        <v>15</v>
      </c>
      <c r="E30" s="442">
        <f>G3</f>
        <v>0.8720751822017645</v>
      </c>
      <c r="F30" s="432">
        <f>E30*GLEA!E31</f>
        <v>26183.185270425776</v>
      </c>
      <c r="G30" s="432"/>
      <c r="H30" s="432"/>
      <c r="I30" s="438">
        <f>IF(F30&gt;5000,(F30-5000)*$J$3,"ERROR")</f>
        <v>3177.4777905638662</v>
      </c>
      <c r="J30" s="437">
        <f>F30*$M$3</f>
        <v>4660.6069781357883</v>
      </c>
      <c r="K30" s="437">
        <f>SUM(F30:J30)</f>
        <v>34021.270039125433</v>
      </c>
      <c r="L30" s="437">
        <v>498</v>
      </c>
      <c r="M30" s="432"/>
      <c r="N30" s="437">
        <f>SUM(K30:M30)</f>
        <v>34519.270039125433</v>
      </c>
      <c r="O30" s="306" t="s">
        <v>185</v>
      </c>
      <c r="P30" s="440" t="s">
        <v>210</v>
      </c>
    </row>
    <row r="31" spans="1:16" x14ac:dyDescent="0.25">
      <c r="D31" s="307"/>
      <c r="E31" s="442"/>
      <c r="F31" s="432"/>
      <c r="G31" s="432"/>
      <c r="H31" s="432"/>
      <c r="I31" s="432"/>
      <c r="J31" s="432"/>
      <c r="K31" s="432"/>
      <c r="L31" s="432"/>
      <c r="M31" s="432"/>
      <c r="N31" s="432"/>
    </row>
    <row r="32" spans="1:16" x14ac:dyDescent="0.25">
      <c r="A32" s="306" t="s">
        <v>181</v>
      </c>
      <c r="B32" s="306" t="s">
        <v>168</v>
      </c>
      <c r="C32" s="306" t="s">
        <v>186</v>
      </c>
      <c r="D32" s="307">
        <v>9</v>
      </c>
      <c r="E32" s="442">
        <f>0.5*G2</f>
        <v>0.42769466820099733</v>
      </c>
      <c r="F32" s="432">
        <f>E32*GLEA!E25</f>
        <v>11115.35673187572</v>
      </c>
      <c r="G32" s="432"/>
      <c r="H32" s="432"/>
      <c r="I32" s="438">
        <f>IF(F32&gt;5000,(F32-5000)*$J$3,"ERROR")</f>
        <v>917.30350978135789</v>
      </c>
      <c r="J32" s="437">
        <f>F32*$M$3</f>
        <v>1978.533498273878</v>
      </c>
      <c r="K32" s="437">
        <f>SUM(F32:J32)</f>
        <v>14011.193739930955</v>
      </c>
      <c r="L32" s="437">
        <v>498</v>
      </c>
      <c r="M32" s="432"/>
      <c r="N32" s="437">
        <f>SUM(K32:M32)</f>
        <v>14509.193739930955</v>
      </c>
      <c r="P32" s="440" t="s">
        <v>208</v>
      </c>
    </row>
    <row r="33" spans="1:16" x14ac:dyDescent="0.25">
      <c r="D33" s="307"/>
      <c r="E33" s="442"/>
      <c r="F33" s="432"/>
      <c r="G33" s="432"/>
      <c r="H33" s="432"/>
      <c r="I33" s="432"/>
      <c r="J33" s="432"/>
      <c r="K33" s="432"/>
      <c r="L33" s="432"/>
      <c r="M33" s="432"/>
      <c r="N33" s="432"/>
    </row>
    <row r="34" spans="1:16" x14ac:dyDescent="0.25">
      <c r="A34" s="306" t="s">
        <v>187</v>
      </c>
      <c r="B34" s="306" t="s">
        <v>168</v>
      </c>
      <c r="C34" s="306" t="s">
        <v>188</v>
      </c>
      <c r="D34" s="307">
        <v>18</v>
      </c>
      <c r="E34" s="442">
        <v>1</v>
      </c>
      <c r="F34" s="432">
        <f>E34*GLEA!E34</f>
        <v>32597</v>
      </c>
      <c r="G34" s="432"/>
      <c r="H34" s="432"/>
      <c r="I34" s="438">
        <f>IF(F34&gt;5000,(F34-5000)*$J$3,"ERROR")</f>
        <v>4139.55</v>
      </c>
      <c r="J34" s="437">
        <f>F34*$M$3</f>
        <v>5802.2659999999996</v>
      </c>
      <c r="K34" s="437">
        <f>SUM(F34:J34)</f>
        <v>42538.816000000006</v>
      </c>
      <c r="L34" s="437">
        <f>498*0.5</f>
        <v>249</v>
      </c>
      <c r="M34" s="432"/>
      <c r="N34" s="437">
        <f>SUM(K34:M34)</f>
        <v>42787.816000000006</v>
      </c>
      <c r="P34" s="440" t="s">
        <v>211</v>
      </c>
    </row>
    <row r="35" spans="1:16" x14ac:dyDescent="0.25">
      <c r="D35" s="307"/>
      <c r="E35" s="442"/>
      <c r="F35" s="432"/>
      <c r="G35" s="432"/>
      <c r="H35" s="432"/>
      <c r="I35" s="432"/>
      <c r="J35" s="432"/>
      <c r="K35" s="432"/>
      <c r="L35" s="432"/>
      <c r="M35" s="432"/>
      <c r="N35" s="432"/>
    </row>
    <row r="36" spans="1:16" x14ac:dyDescent="0.25">
      <c r="A36" s="306" t="s">
        <v>189</v>
      </c>
      <c r="B36" s="306" t="s">
        <v>168</v>
      </c>
      <c r="C36" s="306" t="s">
        <v>201</v>
      </c>
      <c r="D36" s="307">
        <v>3</v>
      </c>
      <c r="E36" s="442">
        <f>((3500/33.44)/37)*G2</f>
        <v>2.4197131428674039</v>
      </c>
      <c r="F36" s="432">
        <f>(E36*GLEA!E19)</f>
        <v>59072.45695682193</v>
      </c>
      <c r="G36" s="432"/>
      <c r="H36" s="432"/>
      <c r="I36" s="438"/>
      <c r="J36" s="437">
        <f>F36*$M$3</f>
        <v>10514.897338314304</v>
      </c>
      <c r="K36" s="437">
        <f>SUM(F36:J36)</f>
        <v>69587.354295136232</v>
      </c>
      <c r="L36" s="432"/>
      <c r="M36" s="432"/>
      <c r="N36" s="437">
        <f>SUM(K36:M36)</f>
        <v>69587.354295136232</v>
      </c>
      <c r="O36" s="306" t="s">
        <v>223</v>
      </c>
      <c r="P36" s="441"/>
    </row>
    <row r="37" spans="1:16" x14ac:dyDescent="0.25">
      <c r="D37" s="307"/>
      <c r="E37" s="442"/>
      <c r="F37" s="432"/>
      <c r="G37" s="432"/>
      <c r="H37" s="432"/>
      <c r="I37" s="432"/>
      <c r="J37" s="432"/>
      <c r="K37" s="432"/>
      <c r="L37" s="432"/>
      <c r="M37" s="432"/>
      <c r="N37" s="432"/>
    </row>
    <row r="38" spans="1:16" x14ac:dyDescent="0.25">
      <c r="A38" s="306" t="s">
        <v>190</v>
      </c>
      <c r="C38" s="306" t="s">
        <v>185</v>
      </c>
      <c r="D38" s="307" t="s">
        <v>202</v>
      </c>
      <c r="E38" s="442"/>
      <c r="F38" s="432"/>
      <c r="G38" s="432"/>
      <c r="H38" s="432"/>
      <c r="I38" s="432"/>
      <c r="J38" s="432"/>
      <c r="K38" s="432"/>
      <c r="L38" s="432"/>
      <c r="M38" s="432"/>
      <c r="N38" s="432">
        <f>(6*395)+195+250</f>
        <v>2815</v>
      </c>
      <c r="O38" s="434" t="s">
        <v>217</v>
      </c>
    </row>
    <row r="39" spans="1:16" x14ac:dyDescent="0.25">
      <c r="D39" s="307"/>
      <c r="E39" s="442"/>
      <c r="F39" s="432"/>
      <c r="G39" s="432"/>
      <c r="H39" s="432"/>
      <c r="I39" s="432"/>
      <c r="J39" s="432"/>
      <c r="K39" s="432"/>
      <c r="L39" s="432"/>
      <c r="M39" s="432"/>
      <c r="N39" s="432"/>
    </row>
    <row r="40" spans="1:16" x14ac:dyDescent="0.25">
      <c r="A40" s="306" t="s">
        <v>191</v>
      </c>
      <c r="B40" s="306" t="s">
        <v>168</v>
      </c>
      <c r="C40" s="306" t="s">
        <v>182</v>
      </c>
      <c r="D40" s="307">
        <v>15</v>
      </c>
      <c r="E40" s="442">
        <f>(30/37)*G3</f>
        <v>0.70708798556899832</v>
      </c>
      <c r="F40" s="432">
        <f>E40*GLEA!E31</f>
        <v>21229.609678723606</v>
      </c>
      <c r="G40" s="432"/>
      <c r="H40" s="432"/>
      <c r="I40" s="438">
        <f>IF(F40&gt;5000,(F40-5000)*$J$3,"ERROR")</f>
        <v>2434.4414518085409</v>
      </c>
      <c r="J40" s="437">
        <f>F40*$M$3</f>
        <v>3778.8705228128015</v>
      </c>
      <c r="K40" s="437">
        <f>SUM(F40:J40)</f>
        <v>27442.921653344947</v>
      </c>
      <c r="L40" s="437">
        <v>498</v>
      </c>
      <c r="M40" s="432"/>
      <c r="N40" s="437"/>
      <c r="P40" s="440" t="s">
        <v>212</v>
      </c>
    </row>
    <row r="41" spans="1:16" x14ac:dyDescent="0.25">
      <c r="D41" s="307"/>
      <c r="E41" s="442"/>
      <c r="F41" s="432"/>
      <c r="G41" s="432"/>
      <c r="H41" s="432"/>
      <c r="I41" s="432"/>
      <c r="J41" s="432"/>
      <c r="K41" s="432"/>
      <c r="L41" s="432"/>
      <c r="M41" s="432"/>
      <c r="N41" s="437"/>
    </row>
    <row r="42" spans="1:16" x14ac:dyDescent="0.25">
      <c r="A42" s="306" t="s">
        <v>192</v>
      </c>
      <c r="B42" s="306" t="s">
        <v>168</v>
      </c>
      <c r="C42" s="306" t="s">
        <v>201</v>
      </c>
      <c r="D42" s="307">
        <v>3</v>
      </c>
      <c r="E42" s="442">
        <f>55/37</f>
        <v>1.4864864864864864</v>
      </c>
      <c r="F42" s="432">
        <f>(E42*GLEA!E19)*G2</f>
        <v>31041.732238567682</v>
      </c>
      <c r="G42" s="432"/>
      <c r="H42" s="432"/>
      <c r="I42" s="438"/>
      <c r="J42" s="437">
        <f>F42*$M$3</f>
        <v>5525.4283384650471</v>
      </c>
      <c r="K42" s="437">
        <f>SUM(F42:J42)</f>
        <v>36567.16057703273</v>
      </c>
      <c r="L42" s="432"/>
      <c r="M42" s="432"/>
      <c r="N42" s="437"/>
      <c r="P42" s="440" t="s">
        <v>213</v>
      </c>
    </row>
    <row r="43" spans="1:16" x14ac:dyDescent="0.25">
      <c r="D43" s="307"/>
      <c r="E43" s="442"/>
      <c r="F43" s="432"/>
      <c r="G43" s="432"/>
      <c r="H43" s="432"/>
      <c r="I43" s="432"/>
      <c r="J43" s="432"/>
      <c r="K43" s="432"/>
      <c r="L43" s="432"/>
      <c r="M43" s="432"/>
      <c r="N43" s="432"/>
    </row>
    <row r="44" spans="1:16" x14ac:dyDescent="0.25">
      <c r="A44" s="306" t="s">
        <v>196</v>
      </c>
      <c r="D44" s="307"/>
      <c r="E44" s="442"/>
      <c r="F44" s="432"/>
      <c r="G44" s="432">
        <f>Teacher!E45*2</f>
        <v>7054</v>
      </c>
      <c r="H44" s="432"/>
      <c r="I44" s="432">
        <f>G44*J3</f>
        <v>1058.0999999999999</v>
      </c>
      <c r="J44" s="437">
        <f>(F44+G44+H44)*$M$2</f>
        <v>2023.0871999999999</v>
      </c>
      <c r="K44" s="437">
        <f>SUM(F44:J44)</f>
        <v>10135.1872</v>
      </c>
      <c r="L44" s="432"/>
      <c r="N44" s="437">
        <f t="shared" ref="N44" si="0">SUM(K44:M44)</f>
        <v>10135.1872</v>
      </c>
    </row>
    <row r="47" spans="1:16" ht="13.5" thickBot="1" x14ac:dyDescent="0.35">
      <c r="E47" s="442"/>
      <c r="F47" s="432"/>
      <c r="G47" s="432"/>
      <c r="H47" s="432"/>
      <c r="I47" s="432"/>
      <c r="J47" s="432"/>
      <c r="K47" s="432"/>
      <c r="L47" s="432"/>
      <c r="M47" s="432"/>
      <c r="N47" s="469">
        <f>N18+N20+N22+N24+N26+N28+N30+N32+N34+N36+N38+N40+N42+N44</f>
        <v>622857.43821126362</v>
      </c>
    </row>
    <row r="48" spans="1:16" x14ac:dyDescent="0.25">
      <c r="A48" s="306" t="s">
        <v>225</v>
      </c>
      <c r="F48" s="432"/>
      <c r="G48" s="432"/>
      <c r="H48" s="432"/>
      <c r="I48" s="432"/>
      <c r="J48" s="432"/>
      <c r="K48" s="432"/>
      <c r="L48" s="432"/>
      <c r="M48" s="432"/>
      <c r="N48" s="432"/>
    </row>
    <row r="49" spans="6:15" x14ac:dyDescent="0.25">
      <c r="F49" s="432"/>
      <c r="G49" s="432"/>
      <c r="H49" s="432"/>
      <c r="I49" s="432"/>
      <c r="J49" s="432"/>
      <c r="K49" s="432"/>
      <c r="L49" s="432"/>
      <c r="M49" s="432"/>
      <c r="N49" s="432">
        <f>N47*0.034</f>
        <v>21177.152899182965</v>
      </c>
      <c r="O49" s="306" t="s">
        <v>274</v>
      </c>
    </row>
    <row r="50" spans="6:15" x14ac:dyDescent="0.25">
      <c r="F50" s="432"/>
      <c r="G50" s="432"/>
      <c r="H50" s="432"/>
      <c r="I50" s="432"/>
      <c r="J50" s="432"/>
      <c r="K50" s="432"/>
      <c r="L50" s="432"/>
      <c r="M50" s="432"/>
      <c r="N50" s="432"/>
    </row>
    <row r="51" spans="6:15" ht="13" thickBot="1" x14ac:dyDescent="0.3">
      <c r="F51" s="432"/>
      <c r="G51" s="432"/>
      <c r="H51" s="432"/>
      <c r="I51" s="432"/>
      <c r="J51" s="432"/>
      <c r="K51" s="432"/>
      <c r="L51" s="432"/>
      <c r="M51" s="432"/>
      <c r="N51" s="473">
        <f>N47-N49</f>
        <v>601680.28531208064</v>
      </c>
    </row>
    <row r="52" spans="6:15" x14ac:dyDescent="0.25">
      <c r="F52" s="432"/>
      <c r="G52" s="432"/>
      <c r="H52" s="432"/>
      <c r="I52" s="432"/>
      <c r="J52" s="432"/>
      <c r="K52" s="432"/>
      <c r="L52" s="432"/>
      <c r="M52" s="432"/>
      <c r="N52" s="432"/>
    </row>
    <row r="53" spans="6:15" x14ac:dyDescent="0.25">
      <c r="F53" s="432"/>
      <c r="G53" s="432"/>
      <c r="H53" s="432"/>
      <c r="I53" s="432"/>
      <c r="J53" s="432"/>
      <c r="K53" s="432"/>
      <c r="L53" s="432"/>
      <c r="M53" s="432"/>
      <c r="N53" s="432"/>
    </row>
    <row r="54" spans="6:15" x14ac:dyDescent="0.25">
      <c r="F54" s="432"/>
      <c r="G54" s="432"/>
      <c r="H54" s="432"/>
      <c r="I54" s="432"/>
      <c r="J54" s="432"/>
      <c r="K54" s="432"/>
      <c r="L54" s="432"/>
      <c r="M54" s="432"/>
      <c r="N54" s="432"/>
    </row>
    <row r="55" spans="6:15" x14ac:dyDescent="0.25">
      <c r="F55" s="432"/>
      <c r="G55" s="432"/>
      <c r="H55" s="432"/>
      <c r="I55" s="432"/>
      <c r="J55" s="432"/>
      <c r="K55" s="432"/>
      <c r="L55" s="432"/>
      <c r="M55" s="432" t="s">
        <v>415</v>
      </c>
      <c r="N55" s="432">
        <f>N47-N34-N36</f>
        <v>510482.2679161274</v>
      </c>
    </row>
    <row r="56" spans="6:15" x14ac:dyDescent="0.25">
      <c r="F56" s="432"/>
      <c r="G56" s="432"/>
      <c r="H56" s="432"/>
      <c r="I56" s="432"/>
      <c r="J56" s="432"/>
      <c r="K56" s="432"/>
      <c r="L56" s="432"/>
      <c r="M56" s="432"/>
      <c r="N56" s="432"/>
    </row>
    <row r="57" spans="6:15" x14ac:dyDescent="0.25">
      <c r="F57" s="432"/>
      <c r="G57" s="432"/>
      <c r="H57" s="432"/>
      <c r="I57" s="432"/>
      <c r="J57" s="432"/>
      <c r="K57" s="432"/>
      <c r="L57" s="432"/>
      <c r="M57" s="432"/>
      <c r="N57" s="432">
        <f>N55*0.034</f>
        <v>17356.397109148333</v>
      </c>
      <c r="O57" s="306" t="s">
        <v>274</v>
      </c>
    </row>
    <row r="58" spans="6:15" x14ac:dyDescent="0.25">
      <c r="F58" s="432"/>
      <c r="G58" s="432"/>
      <c r="H58" s="432"/>
      <c r="I58" s="432"/>
      <c r="J58" s="432"/>
      <c r="K58" s="432"/>
      <c r="L58" s="432"/>
      <c r="M58" s="432"/>
      <c r="N58" s="432"/>
    </row>
    <row r="59" spans="6:15" ht="13" thickBot="1" x14ac:dyDescent="0.3">
      <c r="F59" s="432"/>
      <c r="G59" s="432"/>
      <c r="H59" s="432"/>
      <c r="I59" s="432"/>
      <c r="J59" s="432"/>
      <c r="K59" s="432"/>
      <c r="L59" s="432"/>
      <c r="M59" s="432"/>
      <c r="N59" s="473">
        <f>N55-N57</f>
        <v>493125.87080697907</v>
      </c>
    </row>
    <row r="60" spans="6:15" x14ac:dyDescent="0.25">
      <c r="F60" s="432"/>
      <c r="G60" s="432"/>
      <c r="H60" s="432"/>
      <c r="I60" s="432"/>
      <c r="J60" s="432"/>
      <c r="K60" s="432"/>
      <c r="L60" s="432"/>
      <c r="M60" s="432"/>
      <c r="N60" s="432"/>
    </row>
    <row r="61" spans="6:15" x14ac:dyDescent="0.25">
      <c r="F61" s="432"/>
      <c r="G61" s="432"/>
      <c r="H61" s="432"/>
      <c r="I61" s="432"/>
      <c r="J61" s="432"/>
      <c r="K61" s="432"/>
      <c r="L61" s="432"/>
      <c r="M61" s="432"/>
      <c r="N61" s="432"/>
    </row>
    <row r="62" spans="6:15" x14ac:dyDescent="0.25">
      <c r="F62" s="432"/>
      <c r="G62" s="432"/>
      <c r="H62" s="432"/>
      <c r="I62" s="432"/>
      <c r="J62" s="432"/>
      <c r="K62" s="432"/>
      <c r="L62" s="432"/>
      <c r="M62" s="432"/>
      <c r="N62" s="432">
        <f>N51/80</f>
        <v>7521.0035664010084</v>
      </c>
    </row>
    <row r="63" spans="6:15" x14ac:dyDescent="0.25">
      <c r="F63" s="432"/>
      <c r="G63" s="432"/>
      <c r="H63" s="432"/>
      <c r="I63" s="432"/>
      <c r="J63" s="432"/>
      <c r="K63" s="432"/>
      <c r="L63" s="432"/>
      <c r="M63" s="432"/>
      <c r="N63" s="432"/>
    </row>
    <row r="64" spans="6:15" x14ac:dyDescent="0.25">
      <c r="F64" s="432"/>
      <c r="G64" s="432"/>
      <c r="H64" s="432"/>
      <c r="I64" s="432"/>
      <c r="J64" s="432"/>
      <c r="K64" s="432"/>
      <c r="L64" s="432"/>
      <c r="M64" s="432"/>
      <c r="N64" s="432"/>
    </row>
    <row r="65" spans="6:14" x14ac:dyDescent="0.25">
      <c r="F65" s="432"/>
      <c r="G65" s="432"/>
      <c r="H65" s="432"/>
      <c r="I65" s="432"/>
      <c r="J65" s="432"/>
      <c r="K65" s="432"/>
      <c r="L65" s="432"/>
      <c r="M65" s="432"/>
      <c r="N65" s="432"/>
    </row>
    <row r="66" spans="6:14" x14ac:dyDescent="0.25">
      <c r="F66" s="432"/>
      <c r="G66" s="432"/>
      <c r="H66" s="432"/>
      <c r="I66" s="432"/>
      <c r="J66" s="432"/>
      <c r="K66" s="432"/>
      <c r="L66" s="432"/>
      <c r="M66" s="432"/>
      <c r="N66" s="432"/>
    </row>
    <row r="67" spans="6:14" x14ac:dyDescent="0.25">
      <c r="F67" s="432"/>
      <c r="G67" s="432"/>
      <c r="H67" s="432"/>
      <c r="I67" s="432"/>
      <c r="J67" s="432"/>
      <c r="K67" s="432"/>
      <c r="L67" s="432"/>
      <c r="M67" s="432"/>
      <c r="N67" s="432"/>
    </row>
    <row r="68" spans="6:14" x14ac:dyDescent="0.25">
      <c r="F68" s="432"/>
      <c r="G68" s="432"/>
      <c r="H68" s="432"/>
      <c r="I68" s="432"/>
      <c r="J68" s="432"/>
      <c r="K68" s="432"/>
      <c r="L68" s="432"/>
      <c r="M68" s="432"/>
      <c r="N68" s="432"/>
    </row>
    <row r="69" spans="6:14" x14ac:dyDescent="0.25">
      <c r="F69" s="432"/>
      <c r="G69" s="432"/>
      <c r="H69" s="432"/>
      <c r="I69" s="432"/>
      <c r="J69" s="432"/>
      <c r="K69" s="432"/>
      <c r="L69" s="432"/>
      <c r="M69" s="432"/>
      <c r="N69" s="432"/>
    </row>
    <row r="70" spans="6:14" x14ac:dyDescent="0.25">
      <c r="F70" s="432"/>
      <c r="G70" s="432"/>
      <c r="H70" s="432"/>
      <c r="I70" s="432"/>
      <c r="J70" s="432"/>
      <c r="K70" s="432"/>
      <c r="L70" s="432"/>
      <c r="M70" s="432"/>
      <c r="N70" s="432"/>
    </row>
    <row r="71" spans="6:14" x14ac:dyDescent="0.25">
      <c r="F71" s="432"/>
      <c r="G71" s="432"/>
      <c r="H71" s="432"/>
      <c r="I71" s="432"/>
      <c r="J71" s="432"/>
      <c r="K71" s="432"/>
      <c r="L71" s="432"/>
      <c r="M71" s="432"/>
      <c r="N71" s="432"/>
    </row>
    <row r="72" spans="6:14" x14ac:dyDescent="0.25">
      <c r="F72" s="432"/>
      <c r="G72" s="432"/>
      <c r="H72" s="432"/>
      <c r="I72" s="432"/>
      <c r="J72" s="432"/>
      <c r="K72" s="432"/>
      <c r="L72" s="432"/>
      <c r="M72" s="432"/>
      <c r="N72" s="432"/>
    </row>
    <row r="73" spans="6:14" x14ac:dyDescent="0.25">
      <c r="F73" s="432"/>
      <c r="G73" s="432"/>
      <c r="H73" s="432"/>
      <c r="I73" s="432"/>
      <c r="J73" s="432"/>
      <c r="K73" s="432"/>
      <c r="L73" s="432"/>
      <c r="M73" s="432"/>
      <c r="N73" s="432"/>
    </row>
    <row r="74" spans="6:14" x14ac:dyDescent="0.25">
      <c r="F74" s="432"/>
      <c r="G74" s="432"/>
      <c r="H74" s="432"/>
      <c r="I74" s="432"/>
      <c r="J74" s="432"/>
      <c r="K74" s="432"/>
      <c r="L74" s="432"/>
      <c r="M74" s="432"/>
      <c r="N74" s="432"/>
    </row>
    <row r="75" spans="6:14" x14ac:dyDescent="0.25">
      <c r="F75" s="432"/>
      <c r="G75" s="432"/>
      <c r="H75" s="432"/>
      <c r="I75" s="432"/>
      <c r="J75" s="432"/>
      <c r="K75" s="432"/>
      <c r="L75" s="432"/>
      <c r="M75" s="432"/>
      <c r="N75" s="432"/>
    </row>
    <row r="76" spans="6:14" x14ac:dyDescent="0.25">
      <c r="F76" s="432"/>
      <c r="G76" s="432"/>
      <c r="H76" s="432"/>
      <c r="I76" s="432"/>
      <c r="J76" s="432"/>
      <c r="K76" s="432"/>
      <c r="L76" s="432"/>
      <c r="M76" s="432"/>
      <c r="N76" s="432"/>
    </row>
    <row r="77" spans="6:14" x14ac:dyDescent="0.25">
      <c r="F77" s="432"/>
      <c r="G77" s="432"/>
      <c r="H77" s="432"/>
      <c r="I77" s="432"/>
      <c r="J77" s="432"/>
      <c r="K77" s="432"/>
      <c r="L77" s="432"/>
      <c r="M77" s="432"/>
      <c r="N77" s="432"/>
    </row>
    <row r="78" spans="6:14" x14ac:dyDescent="0.25">
      <c r="F78" s="432"/>
      <c r="G78" s="432"/>
      <c r="H78" s="432"/>
      <c r="I78" s="432"/>
      <c r="J78" s="432"/>
      <c r="K78" s="432"/>
      <c r="L78" s="432"/>
      <c r="M78" s="432"/>
      <c r="N78" s="432"/>
    </row>
    <row r="79" spans="6:14" x14ac:dyDescent="0.25">
      <c r="F79" s="432"/>
      <c r="G79" s="432"/>
      <c r="H79" s="432"/>
      <c r="I79" s="432"/>
      <c r="J79" s="432"/>
      <c r="K79" s="432"/>
      <c r="L79" s="432"/>
      <c r="M79" s="432"/>
      <c r="N79" s="432"/>
    </row>
    <row r="80" spans="6:14" x14ac:dyDescent="0.25">
      <c r="F80" s="432"/>
      <c r="G80" s="432"/>
      <c r="H80" s="432"/>
      <c r="I80" s="432"/>
      <c r="J80" s="432"/>
      <c r="K80" s="432"/>
      <c r="L80" s="432"/>
      <c r="M80" s="432"/>
      <c r="N80" s="432"/>
    </row>
    <row r="81" spans="6:14" x14ac:dyDescent="0.25">
      <c r="F81" s="432"/>
      <c r="G81" s="432"/>
      <c r="H81" s="432"/>
      <c r="I81" s="432"/>
      <c r="J81" s="432"/>
      <c r="K81" s="432"/>
      <c r="L81" s="432"/>
      <c r="M81" s="432"/>
      <c r="N81" s="432"/>
    </row>
    <row r="82" spans="6:14" x14ac:dyDescent="0.25">
      <c r="F82" s="432"/>
      <c r="G82" s="432"/>
      <c r="H82" s="432"/>
      <c r="I82" s="432"/>
      <c r="J82" s="432"/>
      <c r="K82" s="432"/>
      <c r="L82" s="432"/>
      <c r="M82" s="432"/>
      <c r="N82" s="432"/>
    </row>
    <row r="83" spans="6:14" x14ac:dyDescent="0.25">
      <c r="F83" s="432"/>
      <c r="G83" s="432"/>
      <c r="H83" s="432"/>
      <c r="I83" s="432"/>
      <c r="J83" s="432"/>
      <c r="K83" s="432"/>
      <c r="L83" s="432"/>
      <c r="M83" s="432"/>
      <c r="N83" s="432"/>
    </row>
    <row r="84" spans="6:14" x14ac:dyDescent="0.25">
      <c r="F84" s="432"/>
      <c r="G84" s="432"/>
      <c r="H84" s="432"/>
      <c r="I84" s="432"/>
      <c r="J84" s="432"/>
      <c r="K84" s="432"/>
      <c r="L84" s="432"/>
      <c r="M84" s="432"/>
      <c r="N84" s="432"/>
    </row>
    <row r="85" spans="6:14" x14ac:dyDescent="0.25">
      <c r="F85" s="432"/>
      <c r="G85" s="432"/>
      <c r="H85" s="432"/>
      <c r="I85" s="432"/>
      <c r="J85" s="432"/>
      <c r="K85" s="432"/>
      <c r="L85" s="432"/>
      <c r="M85" s="432"/>
      <c r="N85" s="432"/>
    </row>
    <row r="86" spans="6:14" x14ac:dyDescent="0.25">
      <c r="F86" s="432"/>
      <c r="G86" s="432"/>
      <c r="H86" s="432"/>
      <c r="I86" s="432"/>
      <c r="J86" s="432"/>
      <c r="K86" s="432"/>
      <c r="L86" s="432"/>
      <c r="M86" s="432"/>
      <c r="N86" s="432"/>
    </row>
    <row r="87" spans="6:14" x14ac:dyDescent="0.25">
      <c r="F87" s="432"/>
      <c r="G87" s="432"/>
      <c r="H87" s="432"/>
      <c r="I87" s="432"/>
      <c r="J87" s="432"/>
      <c r="K87" s="432"/>
      <c r="L87" s="432"/>
      <c r="M87" s="432"/>
      <c r="N87" s="432"/>
    </row>
    <row r="88" spans="6:14" x14ac:dyDescent="0.25">
      <c r="F88" s="432"/>
      <c r="G88" s="432"/>
      <c r="H88" s="432"/>
      <c r="I88" s="432"/>
      <c r="J88" s="432"/>
      <c r="K88" s="432"/>
      <c r="L88" s="432"/>
      <c r="M88" s="432"/>
      <c r="N88" s="432"/>
    </row>
    <row r="89" spans="6:14" x14ac:dyDescent="0.25">
      <c r="F89" s="432"/>
      <c r="G89" s="432"/>
      <c r="H89" s="432"/>
      <c r="I89" s="432"/>
      <c r="J89" s="432"/>
      <c r="K89" s="432"/>
      <c r="L89" s="432"/>
      <c r="M89" s="432"/>
      <c r="N89" s="432"/>
    </row>
    <row r="90" spans="6:14" x14ac:dyDescent="0.25">
      <c r="F90" s="432"/>
      <c r="G90" s="432"/>
      <c r="H90" s="432"/>
      <c r="I90" s="432"/>
      <c r="J90" s="432"/>
      <c r="K90" s="432"/>
      <c r="L90" s="432"/>
      <c r="M90" s="432"/>
      <c r="N90" s="432"/>
    </row>
    <row r="91" spans="6:14" x14ac:dyDescent="0.25">
      <c r="F91" s="432"/>
      <c r="G91" s="432"/>
      <c r="H91" s="432"/>
      <c r="I91" s="432"/>
      <c r="J91" s="432"/>
      <c r="K91" s="432"/>
      <c r="L91" s="432"/>
      <c r="M91" s="432"/>
      <c r="N91" s="432"/>
    </row>
    <row r="92" spans="6:14" x14ac:dyDescent="0.25">
      <c r="F92" s="432"/>
      <c r="G92" s="432"/>
      <c r="H92" s="432"/>
      <c r="I92" s="432"/>
      <c r="J92" s="432"/>
      <c r="K92" s="432"/>
      <c r="L92" s="432"/>
      <c r="M92" s="432"/>
      <c r="N92" s="432"/>
    </row>
    <row r="93" spans="6:14" x14ac:dyDescent="0.25">
      <c r="F93" s="432"/>
      <c r="G93" s="432"/>
      <c r="H93" s="432"/>
      <c r="I93" s="432"/>
      <c r="J93" s="432"/>
      <c r="K93" s="432"/>
      <c r="L93" s="432"/>
      <c r="M93" s="432"/>
      <c r="N93" s="432"/>
    </row>
    <row r="94" spans="6:14" x14ac:dyDescent="0.25">
      <c r="F94" s="432"/>
      <c r="G94" s="432"/>
      <c r="H94" s="432"/>
      <c r="I94" s="432"/>
      <c r="J94" s="432"/>
      <c r="K94" s="432"/>
      <c r="L94" s="432"/>
      <c r="M94" s="432"/>
      <c r="N94" s="432"/>
    </row>
    <row r="95" spans="6:14" x14ac:dyDescent="0.25">
      <c r="F95" s="432"/>
      <c r="G95" s="432"/>
      <c r="H95" s="432"/>
      <c r="I95" s="432"/>
      <c r="J95" s="432"/>
      <c r="K95" s="432"/>
      <c r="L95" s="432"/>
      <c r="M95" s="432"/>
      <c r="N95" s="432"/>
    </row>
    <row r="96" spans="6:14" x14ac:dyDescent="0.25">
      <c r="F96" s="432"/>
      <c r="G96" s="432"/>
      <c r="H96" s="432"/>
      <c r="I96" s="432"/>
      <c r="J96" s="432"/>
      <c r="K96" s="432"/>
      <c r="L96" s="432"/>
      <c r="M96" s="432"/>
      <c r="N96" s="432"/>
    </row>
    <row r="97" spans="6:14" x14ac:dyDescent="0.25">
      <c r="F97" s="432"/>
      <c r="G97" s="432"/>
      <c r="H97" s="432"/>
      <c r="I97" s="432"/>
      <c r="J97" s="432"/>
      <c r="K97" s="432"/>
      <c r="L97" s="432"/>
      <c r="M97" s="432"/>
      <c r="N97" s="432"/>
    </row>
  </sheetData>
  <hyperlinks>
    <hyperlink ref="P18" r:id="rId1" xr:uid="{A2926E81-3C0E-4017-A043-8FE57246886B}"/>
    <hyperlink ref="P16" r:id="rId2" xr:uid="{A14F67BF-89D9-4F63-A831-28796A172867}"/>
    <hyperlink ref="P26" r:id="rId3" xr:uid="{9A6F44AF-F1F2-4E16-9E5E-0F041E5FF16D}"/>
    <hyperlink ref="P32" r:id="rId4" xr:uid="{55D7078D-D20F-4248-911E-C887A8560404}"/>
    <hyperlink ref="P28" r:id="rId5" xr:uid="{1C9DB43E-51AF-48A5-9FC6-53F0252A2EF5}"/>
    <hyperlink ref="P30" r:id="rId6" xr:uid="{8D2B7705-6C74-43D0-A7DA-9E287FA4AF13}"/>
    <hyperlink ref="P34" r:id="rId7" xr:uid="{EF4E3B85-E4AB-46ED-9722-F9A31A9CD9CE}"/>
    <hyperlink ref="P40" r:id="rId8" xr:uid="{0E150ECE-5BDA-4E38-9A39-4CF864A18E2D}"/>
    <hyperlink ref="P42" r:id="rId9" xr:uid="{C4BF8EF6-CBE2-4207-8197-191DF659C89D}"/>
  </hyperlinks>
  <pageMargins left="0.7" right="0.7" top="0.75" bottom="0.75" header="0.3" footer="0.3"/>
  <pageSetup paperSize="9" orientation="portrait" r:id="rId10"/>
  <legacyDrawing r:id="rId1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9DC5-F4BE-472C-8545-CC5998B93612}">
  <sheetPr>
    <tabColor rgb="FF92D050"/>
  </sheetPr>
  <dimension ref="A1:N28"/>
  <sheetViews>
    <sheetView workbookViewId="0">
      <selection activeCell="G15" sqref="G15"/>
    </sheetView>
  </sheetViews>
  <sheetFormatPr defaultColWidth="8.7265625" defaultRowHeight="12.5" x14ac:dyDescent="0.25"/>
  <cols>
    <col min="1" max="1" width="8.7265625" style="555"/>
    <col min="2" max="2" width="37" style="555" bestFit="1" customWidth="1"/>
    <col min="3" max="5" width="15.54296875" style="555" customWidth="1"/>
    <col min="6" max="6" width="1.1796875" style="555" customWidth="1"/>
    <col min="7" max="9" width="15.54296875" style="555" customWidth="1"/>
    <col min="10" max="10" width="8.7265625" style="555"/>
    <col min="11" max="16" width="15.54296875" style="555" customWidth="1"/>
    <col min="17" max="16384" width="8.7265625" style="555"/>
  </cols>
  <sheetData>
    <row r="1" spans="1:13" ht="13" x14ac:dyDescent="0.3">
      <c r="A1" s="554" t="s">
        <v>396</v>
      </c>
      <c r="K1" s="556"/>
      <c r="L1" s="556"/>
      <c r="M1" s="557"/>
    </row>
    <row r="3" spans="1:13" ht="13" x14ac:dyDescent="0.3">
      <c r="A3" s="554" t="s">
        <v>397</v>
      </c>
      <c r="C3" s="935" t="s">
        <v>398</v>
      </c>
      <c r="D3" s="935"/>
      <c r="E3" s="935"/>
      <c r="G3" s="935" t="s">
        <v>399</v>
      </c>
      <c r="H3" s="935"/>
      <c r="I3" s="935"/>
      <c r="K3" s="935" t="s">
        <v>400</v>
      </c>
      <c r="L3" s="935"/>
      <c r="M3" s="935"/>
    </row>
    <row r="4" spans="1:13" ht="25" x14ac:dyDescent="0.25">
      <c r="A4" s="479" t="s">
        <v>278</v>
      </c>
      <c r="B4" s="480" t="s">
        <v>279</v>
      </c>
      <c r="C4" s="481" t="s">
        <v>287</v>
      </c>
      <c r="D4" s="481" t="s">
        <v>401</v>
      </c>
      <c r="E4" s="481" t="s">
        <v>27</v>
      </c>
      <c r="F4" s="307"/>
      <c r="G4" s="481" t="s">
        <v>287</v>
      </c>
      <c r="H4" s="481" t="s">
        <v>401</v>
      </c>
      <c r="I4" s="481" t="s">
        <v>27</v>
      </c>
      <c r="K4" s="556" t="s">
        <v>402</v>
      </c>
      <c r="L4" s="556" t="s">
        <v>403</v>
      </c>
      <c r="M4" s="556" t="s">
        <v>404</v>
      </c>
    </row>
    <row r="5" spans="1:13" x14ac:dyDescent="0.25">
      <c r="A5" s="482">
        <v>9257010</v>
      </c>
      <c r="B5" s="480" t="s">
        <v>294</v>
      </c>
      <c r="C5" s="558">
        <v>132</v>
      </c>
      <c r="D5" s="558">
        <v>25</v>
      </c>
      <c r="E5" s="558">
        <f>SUM(C5:D5)</f>
        <v>157</v>
      </c>
      <c r="F5" s="307"/>
      <c r="G5" s="558">
        <v>142</v>
      </c>
      <c r="H5" s="558">
        <v>16</v>
      </c>
      <c r="I5" s="559">
        <f>SUM(G5:H5)</f>
        <v>158</v>
      </c>
      <c r="K5" s="560">
        <f>(E5*5/12)+(I5*7/12)</f>
        <v>157.58333333333334</v>
      </c>
      <c r="L5" s="561">
        <v>625.31742995271486</v>
      </c>
      <c r="M5" s="562">
        <f>K5*L5</f>
        <v>98539.605003381992</v>
      </c>
    </row>
    <row r="6" spans="1:13" x14ac:dyDescent="0.25">
      <c r="A6" s="482">
        <v>9257005</v>
      </c>
      <c r="B6" s="480" t="s">
        <v>198</v>
      </c>
      <c r="C6" s="558">
        <v>234</v>
      </c>
      <c r="D6" s="558">
        <v>18</v>
      </c>
      <c r="E6" s="558">
        <f t="shared" ref="E6:E20" si="0">SUM(C6:D6)</f>
        <v>252</v>
      </c>
      <c r="F6" s="307"/>
      <c r="G6" s="558">
        <v>238</v>
      </c>
      <c r="H6" s="558">
        <v>22</v>
      </c>
      <c r="I6" s="559">
        <f t="shared" ref="I6:I20" si="1">SUM(G6:H6)</f>
        <v>260</v>
      </c>
      <c r="K6" s="560">
        <f t="shared" ref="K6:K20" si="2">(E6*5/12)+(I6*7/12)</f>
        <v>256.66666666666663</v>
      </c>
      <c r="L6" s="561">
        <v>527.58700335344292</v>
      </c>
      <c r="M6" s="562">
        <f t="shared" ref="M6:M20" si="3">K6*L6</f>
        <v>135413.99752738368</v>
      </c>
    </row>
    <row r="7" spans="1:13" x14ac:dyDescent="0.25">
      <c r="A7" s="482">
        <v>9257025</v>
      </c>
      <c r="B7" s="480" t="s">
        <v>295</v>
      </c>
      <c r="C7" s="558">
        <v>88</v>
      </c>
      <c r="D7" s="558">
        <v>22</v>
      </c>
      <c r="E7" s="558">
        <f t="shared" si="0"/>
        <v>110</v>
      </c>
      <c r="F7" s="307"/>
      <c r="G7" s="558">
        <v>88</v>
      </c>
      <c r="H7" s="558">
        <v>22</v>
      </c>
      <c r="I7" s="559">
        <f t="shared" si="1"/>
        <v>110</v>
      </c>
      <c r="K7" s="560">
        <f t="shared" si="2"/>
        <v>110</v>
      </c>
      <c r="L7" s="561">
        <v>605.76375394065985</v>
      </c>
      <c r="M7" s="562">
        <f t="shared" si="3"/>
        <v>66634.012933472579</v>
      </c>
    </row>
    <row r="8" spans="1:13" x14ac:dyDescent="0.25">
      <c r="A8" s="482">
        <v>9257024</v>
      </c>
      <c r="B8" s="480" t="s">
        <v>296</v>
      </c>
      <c r="C8" s="558">
        <v>83</v>
      </c>
      <c r="D8" s="558">
        <v>17</v>
      </c>
      <c r="E8" s="558">
        <f t="shared" si="0"/>
        <v>100</v>
      </c>
      <c r="F8" s="307"/>
      <c r="G8" s="558">
        <v>97</v>
      </c>
      <c r="H8" s="558">
        <v>18</v>
      </c>
      <c r="I8" s="559">
        <f t="shared" si="1"/>
        <v>115</v>
      </c>
      <c r="K8" s="560">
        <f t="shared" si="2"/>
        <v>108.75</v>
      </c>
      <c r="L8" s="561">
        <v>611.74148439915916</v>
      </c>
      <c r="M8" s="562">
        <f t="shared" si="3"/>
        <v>66526.886428408558</v>
      </c>
    </row>
    <row r="9" spans="1:13" x14ac:dyDescent="0.25">
      <c r="A9" s="482">
        <v>9257031</v>
      </c>
      <c r="B9" s="480" t="s">
        <v>297</v>
      </c>
      <c r="C9" s="558">
        <v>80</v>
      </c>
      <c r="D9" s="558">
        <v>0</v>
      </c>
      <c r="E9" s="558">
        <f t="shared" si="0"/>
        <v>80</v>
      </c>
      <c r="F9" s="307"/>
      <c r="G9" s="558">
        <v>80</v>
      </c>
      <c r="H9" s="558">
        <v>0</v>
      </c>
      <c r="I9" s="559">
        <f t="shared" si="1"/>
        <v>80</v>
      </c>
      <c r="K9" s="560">
        <f t="shared" si="2"/>
        <v>80</v>
      </c>
      <c r="L9" s="561">
        <v>753.8091486637037</v>
      </c>
      <c r="M9" s="562">
        <f t="shared" si="3"/>
        <v>60304.731893096294</v>
      </c>
    </row>
    <row r="10" spans="1:13" x14ac:dyDescent="0.25">
      <c r="A10" s="482">
        <v>9257033</v>
      </c>
      <c r="B10" s="480" t="s">
        <v>298</v>
      </c>
      <c r="C10" s="558">
        <v>116</v>
      </c>
      <c r="D10" s="558">
        <v>0</v>
      </c>
      <c r="E10" s="558">
        <f t="shared" si="0"/>
        <v>116</v>
      </c>
      <c r="F10" s="307"/>
      <c r="G10" s="558">
        <v>127</v>
      </c>
      <c r="H10" s="558">
        <v>0</v>
      </c>
      <c r="I10" s="559">
        <f t="shared" si="1"/>
        <v>127</v>
      </c>
      <c r="K10" s="560">
        <f t="shared" si="2"/>
        <v>122.41666666666666</v>
      </c>
      <c r="L10" s="561">
        <v>502.30089147839664</v>
      </c>
      <c r="M10" s="562">
        <f t="shared" si="3"/>
        <v>61490.000798480381</v>
      </c>
    </row>
    <row r="11" spans="1:13" x14ac:dyDescent="0.25">
      <c r="A11" s="482">
        <v>9257008</v>
      </c>
      <c r="B11" s="480" t="s">
        <v>299</v>
      </c>
      <c r="C11" s="558">
        <v>101</v>
      </c>
      <c r="D11" s="558">
        <v>0</v>
      </c>
      <c r="E11" s="558">
        <f t="shared" si="0"/>
        <v>101</v>
      </c>
      <c r="F11" s="307"/>
      <c r="G11" s="558">
        <v>101</v>
      </c>
      <c r="H11" s="558">
        <v>0</v>
      </c>
      <c r="I11" s="559">
        <f t="shared" si="1"/>
        <v>101</v>
      </c>
      <c r="K11" s="560">
        <f t="shared" si="2"/>
        <v>101</v>
      </c>
      <c r="L11" s="561">
        <v>513.78190772864195</v>
      </c>
      <c r="M11" s="562">
        <f t="shared" si="3"/>
        <v>51891.972680592837</v>
      </c>
    </row>
    <row r="12" spans="1:13" x14ac:dyDescent="0.25">
      <c r="A12" s="482">
        <v>9257034</v>
      </c>
      <c r="B12" s="480" t="s">
        <v>300</v>
      </c>
      <c r="C12" s="558">
        <v>113</v>
      </c>
      <c r="D12" s="558">
        <v>28</v>
      </c>
      <c r="E12" s="558">
        <f t="shared" si="0"/>
        <v>141</v>
      </c>
      <c r="F12" s="307"/>
      <c r="G12" s="558">
        <v>136</v>
      </c>
      <c r="H12" s="558">
        <v>29</v>
      </c>
      <c r="I12" s="559">
        <f t="shared" si="1"/>
        <v>165</v>
      </c>
      <c r="K12" s="560">
        <f t="shared" si="2"/>
        <v>155</v>
      </c>
      <c r="L12" s="561">
        <v>488.80077334972242</v>
      </c>
      <c r="M12" s="562">
        <f t="shared" si="3"/>
        <v>75764.119869206974</v>
      </c>
    </row>
    <row r="13" spans="1:13" x14ac:dyDescent="0.25">
      <c r="A13" s="482">
        <v>9257009</v>
      </c>
      <c r="B13" s="480" t="s">
        <v>301</v>
      </c>
      <c r="C13" s="558">
        <v>197</v>
      </c>
      <c r="D13" s="558">
        <v>19</v>
      </c>
      <c r="E13" s="558">
        <f t="shared" si="0"/>
        <v>216</v>
      </c>
      <c r="F13" s="307"/>
      <c r="G13" s="558">
        <v>224</v>
      </c>
      <c r="H13" s="558">
        <v>16</v>
      </c>
      <c r="I13" s="559">
        <f t="shared" si="1"/>
        <v>240</v>
      </c>
      <c r="K13" s="560">
        <f t="shared" si="2"/>
        <v>230</v>
      </c>
      <c r="L13" s="561">
        <v>562.2163648630584</v>
      </c>
      <c r="M13" s="562">
        <f t="shared" si="3"/>
        <v>129309.76391850343</v>
      </c>
    </row>
    <row r="14" spans="1:13" x14ac:dyDescent="0.25">
      <c r="A14" s="482">
        <v>9257029</v>
      </c>
      <c r="B14" s="480" t="s">
        <v>302</v>
      </c>
      <c r="C14" s="558">
        <v>82</v>
      </c>
      <c r="D14" s="558">
        <v>0</v>
      </c>
      <c r="E14" s="558">
        <f t="shared" si="0"/>
        <v>82</v>
      </c>
      <c r="F14" s="307"/>
      <c r="G14" s="558">
        <v>82</v>
      </c>
      <c r="H14" s="558">
        <v>0</v>
      </c>
      <c r="I14" s="559">
        <f t="shared" si="1"/>
        <v>82</v>
      </c>
      <c r="K14" s="560">
        <f t="shared" si="2"/>
        <v>82</v>
      </c>
      <c r="L14" s="561">
        <v>749.89157480719678</v>
      </c>
      <c r="M14" s="562">
        <f t="shared" si="3"/>
        <v>61491.109134190134</v>
      </c>
    </row>
    <row r="15" spans="1:13" x14ac:dyDescent="0.25">
      <c r="A15" s="482">
        <v>9257032</v>
      </c>
      <c r="B15" s="480" t="s">
        <v>303</v>
      </c>
      <c r="C15" s="558">
        <v>115</v>
      </c>
      <c r="D15" s="558">
        <v>0</v>
      </c>
      <c r="E15" s="558">
        <f t="shared" si="0"/>
        <v>115</v>
      </c>
      <c r="F15" s="307"/>
      <c r="G15" s="558">
        <v>117</v>
      </c>
      <c r="H15" s="558">
        <v>0</v>
      </c>
      <c r="I15" s="559">
        <f t="shared" si="1"/>
        <v>117</v>
      </c>
      <c r="K15" s="560">
        <f t="shared" si="2"/>
        <v>116.16666666666666</v>
      </c>
      <c r="L15" s="561">
        <v>756.85405807775328</v>
      </c>
      <c r="M15" s="562">
        <f t="shared" si="3"/>
        <v>87921.213080032336</v>
      </c>
    </row>
    <row r="16" spans="1:13" x14ac:dyDescent="0.25">
      <c r="A16" s="482">
        <v>9257030</v>
      </c>
      <c r="B16" s="480" t="s">
        <v>304</v>
      </c>
      <c r="C16" s="558">
        <v>76</v>
      </c>
      <c r="D16" s="558">
        <v>0</v>
      </c>
      <c r="E16" s="558">
        <f t="shared" si="0"/>
        <v>76</v>
      </c>
      <c r="F16" s="307"/>
      <c r="G16" s="558">
        <v>85</v>
      </c>
      <c r="H16" s="558">
        <v>0</v>
      </c>
      <c r="I16" s="559">
        <f t="shared" si="1"/>
        <v>85</v>
      </c>
      <c r="K16" s="560">
        <f t="shared" si="2"/>
        <v>81.25</v>
      </c>
      <c r="L16" s="561">
        <v>776.49040312727345</v>
      </c>
      <c r="M16" s="562">
        <f t="shared" si="3"/>
        <v>63089.845254090971</v>
      </c>
    </row>
    <row r="17" spans="1:14" x14ac:dyDescent="0.25">
      <c r="A17" s="482">
        <v>9257028</v>
      </c>
      <c r="B17" s="480" t="s">
        <v>305</v>
      </c>
      <c r="C17" s="558">
        <v>127</v>
      </c>
      <c r="D17" s="558">
        <v>18</v>
      </c>
      <c r="E17" s="558">
        <f t="shared" si="0"/>
        <v>145</v>
      </c>
      <c r="F17" s="307"/>
      <c r="G17" s="558">
        <v>127</v>
      </c>
      <c r="H17" s="558">
        <v>21</v>
      </c>
      <c r="I17" s="559">
        <f t="shared" si="1"/>
        <v>148</v>
      </c>
      <c r="K17" s="560">
        <f t="shared" si="2"/>
        <v>146.75</v>
      </c>
      <c r="L17" s="561">
        <v>604.79343204780764</v>
      </c>
      <c r="M17" s="562">
        <f t="shared" si="3"/>
        <v>88753.436153015777</v>
      </c>
    </row>
    <row r="18" spans="1:14" x14ac:dyDescent="0.25">
      <c r="A18" s="482">
        <v>9257021</v>
      </c>
      <c r="B18" s="480" t="s">
        <v>306</v>
      </c>
      <c r="C18" s="558">
        <v>180</v>
      </c>
      <c r="D18" s="558">
        <v>0</v>
      </c>
      <c r="E18" s="558">
        <f t="shared" si="0"/>
        <v>180</v>
      </c>
      <c r="F18" s="307"/>
      <c r="G18" s="558">
        <v>180</v>
      </c>
      <c r="H18" s="558">
        <v>0</v>
      </c>
      <c r="I18" s="559">
        <f t="shared" si="1"/>
        <v>180</v>
      </c>
      <c r="K18" s="560">
        <f t="shared" si="2"/>
        <v>180</v>
      </c>
      <c r="L18" s="561">
        <v>470.8864260480313</v>
      </c>
      <c r="M18" s="562">
        <f t="shared" si="3"/>
        <v>84759.556688645636</v>
      </c>
    </row>
    <row r="19" spans="1:14" x14ac:dyDescent="0.25">
      <c r="A19" s="482">
        <v>9257015</v>
      </c>
      <c r="B19" s="480" t="s">
        <v>307</v>
      </c>
      <c r="C19" s="558">
        <v>300</v>
      </c>
      <c r="D19" s="558">
        <v>33</v>
      </c>
      <c r="E19" s="558">
        <f t="shared" si="0"/>
        <v>333</v>
      </c>
      <c r="F19" s="307"/>
      <c r="G19" s="558">
        <v>281</v>
      </c>
      <c r="H19" s="558">
        <v>39</v>
      </c>
      <c r="I19" s="559">
        <f t="shared" si="1"/>
        <v>320</v>
      </c>
      <c r="K19" s="560">
        <f t="shared" si="2"/>
        <v>325.41666666666663</v>
      </c>
      <c r="L19" s="561">
        <v>465.04161522540056</v>
      </c>
      <c r="M19" s="562">
        <f t="shared" si="3"/>
        <v>151332.29228793242</v>
      </c>
    </row>
    <row r="20" spans="1:14" x14ac:dyDescent="0.25">
      <c r="A20" s="482">
        <v>9257016</v>
      </c>
      <c r="B20" s="480" t="s">
        <v>308</v>
      </c>
      <c r="C20" s="558">
        <v>120</v>
      </c>
      <c r="D20" s="558">
        <v>45</v>
      </c>
      <c r="E20" s="558">
        <f t="shared" si="0"/>
        <v>165</v>
      </c>
      <c r="F20" s="307"/>
      <c r="G20" s="558">
        <v>132</v>
      </c>
      <c r="H20" s="558">
        <v>44</v>
      </c>
      <c r="I20" s="559">
        <f t="shared" si="1"/>
        <v>176</v>
      </c>
      <c r="K20" s="560">
        <f t="shared" si="2"/>
        <v>171.41666666666669</v>
      </c>
      <c r="L20" s="561">
        <v>666.41982384067296</v>
      </c>
      <c r="M20" s="562">
        <f t="shared" si="3"/>
        <v>114235.46480335537</v>
      </c>
    </row>
    <row r="21" spans="1:14" x14ac:dyDescent="0.25">
      <c r="K21" s="560"/>
      <c r="L21" s="560"/>
      <c r="M21" s="562"/>
    </row>
    <row r="22" spans="1:14" ht="13.5" thickBot="1" x14ac:dyDescent="0.35">
      <c r="C22" s="563">
        <f>SUM(C5:C20)</f>
        <v>2144</v>
      </c>
      <c r="D22" s="563">
        <f t="shared" ref="D22:M22" si="4">SUM(D5:D20)</f>
        <v>225</v>
      </c>
      <c r="E22" s="564">
        <f t="shared" si="4"/>
        <v>2369</v>
      </c>
      <c r="F22" s="563">
        <f t="shared" si="4"/>
        <v>0</v>
      </c>
      <c r="G22" s="563">
        <f t="shared" si="4"/>
        <v>2237</v>
      </c>
      <c r="H22" s="563">
        <f t="shared" si="4"/>
        <v>227</v>
      </c>
      <c r="I22" s="564">
        <f t="shared" si="4"/>
        <v>2464</v>
      </c>
      <c r="K22" s="565">
        <f t="shared" si="4"/>
        <v>2424.4166666666665</v>
      </c>
      <c r="L22" s="565"/>
      <c r="M22" s="566">
        <f t="shared" si="4"/>
        <v>1397458.0084537894</v>
      </c>
    </row>
    <row r="24" spans="1:14" ht="13" x14ac:dyDescent="0.3">
      <c r="L24" s="568">
        <f>AVERAGE(L5:L20)</f>
        <v>605.10600568147731</v>
      </c>
    </row>
    <row r="25" spans="1:14" x14ac:dyDescent="0.25">
      <c r="M25" s="562">
        <v>63989.212515147869</v>
      </c>
      <c r="N25" s="555" t="s">
        <v>405</v>
      </c>
    </row>
    <row r="28" spans="1:14" x14ac:dyDescent="0.25">
      <c r="L28" s="567">
        <f>AVERAGE(L5:L20)</f>
        <v>605.10600568147731</v>
      </c>
    </row>
  </sheetData>
  <mergeCells count="3">
    <mergeCell ref="C3:E3"/>
    <mergeCell ref="G3:I3"/>
    <mergeCell ref="K3:M3"/>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321B9-BD8E-4576-A802-9C284079601A}">
  <sheetPr>
    <tabColor rgb="FFCC00CC"/>
    <pageSetUpPr fitToPage="1"/>
  </sheetPr>
  <dimension ref="A1:BB71"/>
  <sheetViews>
    <sheetView topLeftCell="B1" zoomScaleNormal="80" workbookViewId="0">
      <selection activeCell="F22" sqref="F22"/>
    </sheetView>
  </sheetViews>
  <sheetFormatPr defaultColWidth="8.7265625" defaultRowHeight="15.5" x14ac:dyDescent="0.35"/>
  <cols>
    <col min="1" max="1" width="9.453125" style="78" hidden="1" customWidth="1"/>
    <col min="2" max="2" width="4.81640625" style="78" customWidth="1"/>
    <col min="3" max="3" width="16.453125" style="78" customWidth="1"/>
    <col min="4" max="4" width="8.453125" style="78" customWidth="1"/>
    <col min="5" max="5" width="7.26953125" style="78" customWidth="1"/>
    <col min="6" max="6" width="10.453125" style="78" customWidth="1"/>
    <col min="7" max="7" width="3.1796875" style="78" customWidth="1"/>
    <col min="8" max="8" width="8.7265625" style="78"/>
    <col min="9" max="9" width="3.1796875" style="78" bestFit="1" customWidth="1"/>
    <col min="10" max="10" width="7.26953125" style="78" customWidth="1"/>
    <col min="11" max="11" width="3.1796875" style="78" customWidth="1"/>
    <col min="12" max="12" width="8.7265625" style="78"/>
    <col min="13" max="13" width="3.1796875" style="78" bestFit="1" customWidth="1"/>
    <col min="14" max="14" width="10.54296875" style="78" bestFit="1" customWidth="1"/>
    <col min="15" max="15" width="3.1796875" style="78" customWidth="1"/>
    <col min="16" max="16" width="3.26953125" style="78" customWidth="1"/>
    <col min="17" max="17" width="3.1796875" style="78" bestFit="1" customWidth="1"/>
    <col min="18" max="18" width="8.453125" style="78" customWidth="1"/>
    <col min="19" max="19" width="3.1796875" style="78" customWidth="1"/>
    <col min="20" max="20" width="11.26953125" style="78" customWidth="1"/>
    <col min="21" max="21" width="3.1796875" style="78" customWidth="1"/>
    <col min="22" max="22" width="20.7265625" style="78" hidden="1" customWidth="1"/>
    <col min="23" max="25" width="9.81640625" style="78" customWidth="1"/>
    <col min="26" max="26" width="1.81640625" style="78" customWidth="1"/>
    <col min="27" max="16384" width="8.7265625" style="78"/>
  </cols>
  <sheetData>
    <row r="1" spans="1:54" s="10" customFormat="1" ht="26.5" x14ac:dyDescent="0.65">
      <c r="A1" s="1"/>
      <c r="B1" s="2" t="s">
        <v>0</v>
      </c>
      <c r="C1" s="3"/>
      <c r="D1" s="3"/>
      <c r="E1" s="3"/>
      <c r="F1" s="3"/>
      <c r="G1" s="4"/>
      <c r="H1" s="3"/>
      <c r="I1" s="3"/>
      <c r="J1" s="3"/>
      <c r="K1" s="3"/>
      <c r="L1" s="3"/>
      <c r="M1" s="3"/>
      <c r="N1" s="5"/>
      <c r="O1" s="5"/>
      <c r="P1" s="5"/>
      <c r="Q1" s="5"/>
      <c r="R1" s="5"/>
      <c r="S1" s="3"/>
      <c r="T1" s="3"/>
      <c r="U1" s="6"/>
      <c r="V1" s="7"/>
      <c r="W1" s="8"/>
      <c r="X1" s="7"/>
      <c r="Y1" s="7"/>
      <c r="Z1" s="7"/>
      <c r="AA1" s="7"/>
      <c r="AB1" s="7"/>
      <c r="AC1" s="9"/>
      <c r="AD1" s="9"/>
      <c r="AE1" s="9"/>
      <c r="AF1" s="9"/>
      <c r="AG1" s="9"/>
      <c r="AH1" s="9"/>
      <c r="AI1" s="9"/>
      <c r="AJ1" s="9"/>
      <c r="AK1" s="9"/>
      <c r="AL1" s="9"/>
      <c r="AM1" s="9"/>
      <c r="AN1" s="9"/>
      <c r="AO1" s="9"/>
      <c r="AP1" s="9"/>
      <c r="AQ1" s="9"/>
      <c r="AR1" s="9"/>
      <c r="AS1" s="9"/>
      <c r="AT1" s="9"/>
      <c r="AU1" s="9"/>
      <c r="AV1" s="9"/>
      <c r="AW1" s="9"/>
      <c r="AX1" s="9"/>
      <c r="AY1" s="9"/>
      <c r="AZ1" s="9"/>
      <c r="BA1" s="9"/>
      <c r="BB1" s="9"/>
    </row>
    <row r="2" spans="1:54" s="10" customFormat="1" ht="22.5" x14ac:dyDescent="0.65">
      <c r="A2" s="1"/>
      <c r="B2" s="11" t="s">
        <v>1</v>
      </c>
      <c r="C2" s="12"/>
      <c r="D2" s="12"/>
      <c r="E2" s="12"/>
      <c r="F2" s="12"/>
      <c r="G2" s="13"/>
      <c r="H2" s="12"/>
      <c r="I2" s="12"/>
      <c r="J2" s="12"/>
      <c r="K2" s="12"/>
      <c r="L2" s="12"/>
      <c r="M2" s="12"/>
      <c r="N2" s="14"/>
      <c r="O2" s="14"/>
      <c r="P2" s="14"/>
      <c r="Q2" s="14"/>
      <c r="R2" s="14"/>
      <c r="S2" s="12"/>
      <c r="T2" s="12"/>
      <c r="U2" s="15"/>
      <c r="V2" s="7"/>
      <c r="W2" s="8"/>
      <c r="X2" s="7"/>
      <c r="Y2" s="7"/>
      <c r="Z2" s="7"/>
      <c r="AA2" s="7"/>
      <c r="AB2" s="7"/>
      <c r="AC2" s="9"/>
      <c r="AD2" s="9"/>
      <c r="AE2" s="9"/>
      <c r="AF2" s="9"/>
      <c r="AG2" s="9"/>
      <c r="AH2" s="9"/>
      <c r="AI2" s="9"/>
      <c r="AJ2" s="9"/>
      <c r="AK2" s="9"/>
      <c r="AL2" s="9"/>
      <c r="AM2" s="9"/>
      <c r="AN2" s="9"/>
      <c r="AO2" s="9"/>
      <c r="AP2" s="9"/>
      <c r="AQ2" s="9"/>
      <c r="AR2" s="9"/>
      <c r="AS2" s="9"/>
      <c r="AT2" s="9"/>
      <c r="AU2" s="9"/>
      <c r="AV2" s="9"/>
      <c r="AW2" s="9"/>
      <c r="AX2" s="9"/>
      <c r="AY2" s="9"/>
      <c r="AZ2" s="9"/>
      <c r="BA2" s="9"/>
      <c r="BB2" s="9"/>
    </row>
    <row r="3" spans="1:54" s="23" customFormat="1" ht="21.75" customHeight="1" x14ac:dyDescent="0.5">
      <c r="A3" s="1" t="s">
        <v>2</v>
      </c>
      <c r="B3" s="16" t="s">
        <v>3</v>
      </c>
      <c r="C3" s="17"/>
      <c r="D3" s="17"/>
      <c r="E3" s="17"/>
      <c r="F3" s="17"/>
      <c r="G3" s="18"/>
      <c r="H3" s="17"/>
      <c r="I3" s="17"/>
      <c r="J3" s="17"/>
      <c r="K3" s="17"/>
      <c r="L3" s="17"/>
      <c r="M3" s="17"/>
      <c r="N3" s="17"/>
      <c r="O3" s="17"/>
      <c r="P3" s="17"/>
      <c r="Q3" s="17"/>
      <c r="R3" s="17"/>
      <c r="S3" s="17"/>
      <c r="T3" s="17"/>
      <c r="U3" s="19"/>
      <c r="V3" s="20"/>
      <c r="W3" s="21"/>
      <c r="X3" s="20"/>
      <c r="Y3" s="20"/>
      <c r="Z3" s="20"/>
      <c r="AA3" s="20"/>
      <c r="AB3" s="20"/>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row>
    <row r="4" spans="1:54" s="23" customFormat="1" ht="21.75" customHeight="1" x14ac:dyDescent="0.5">
      <c r="A4" s="1"/>
      <c r="B4" s="24" t="s">
        <v>4</v>
      </c>
      <c r="C4" s="17"/>
      <c r="D4" s="17"/>
      <c r="E4" s="17"/>
      <c r="F4" s="17"/>
      <c r="G4" s="18"/>
      <c r="H4" s="17"/>
      <c r="I4" s="17"/>
      <c r="J4" s="17"/>
      <c r="K4" s="17"/>
      <c r="L4" s="17"/>
      <c r="M4" s="17"/>
      <c r="N4" s="17"/>
      <c r="O4" s="17"/>
      <c r="P4" s="17"/>
      <c r="Q4" s="17"/>
      <c r="R4" s="17"/>
      <c r="S4" s="17"/>
      <c r="T4" s="17"/>
      <c r="U4" s="19"/>
      <c r="V4" s="20"/>
      <c r="W4" s="21"/>
      <c r="X4" s="20"/>
      <c r="Y4" s="20"/>
      <c r="Z4" s="20"/>
      <c r="AA4" s="20"/>
      <c r="AB4" s="20"/>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row>
    <row r="5" spans="1:54" s="23" customFormat="1" ht="21.75" customHeight="1" x14ac:dyDescent="0.5">
      <c r="A5" s="1"/>
      <c r="B5" s="25" t="s">
        <v>5</v>
      </c>
      <c r="C5" s="26"/>
      <c r="D5" s="26"/>
      <c r="E5" s="26"/>
      <c r="F5" s="26"/>
      <c r="G5" s="26"/>
      <c r="H5" s="26"/>
      <c r="I5" s="26"/>
      <c r="J5" s="26"/>
      <c r="K5" s="26"/>
      <c r="L5" s="26"/>
      <c r="M5" s="26"/>
      <c r="N5" s="26"/>
      <c r="O5" s="26"/>
      <c r="P5" s="26"/>
      <c r="Q5" s="26"/>
      <c r="R5" s="26"/>
      <c r="S5" s="26"/>
      <c r="T5" s="26"/>
      <c r="U5" s="27"/>
      <c r="V5" s="20"/>
      <c r="W5" s="20"/>
      <c r="X5" s="20"/>
      <c r="Y5" s="20"/>
      <c r="Z5" s="20"/>
      <c r="AA5" s="20"/>
      <c r="AB5" s="20"/>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row>
    <row r="6" spans="1:54" s="23" customFormat="1" ht="21.75" customHeight="1" x14ac:dyDescent="0.5">
      <c r="A6" s="1"/>
      <c r="B6" s="28" t="s">
        <v>6</v>
      </c>
      <c r="C6" s="29"/>
      <c r="D6" s="29"/>
      <c r="E6" s="29"/>
      <c r="F6" s="29"/>
      <c r="G6" s="29"/>
      <c r="H6" s="29"/>
      <c r="I6" s="29"/>
      <c r="J6" s="29"/>
      <c r="K6" s="29"/>
      <c r="L6" s="29"/>
      <c r="M6" s="29"/>
      <c r="N6" s="29"/>
      <c r="O6" s="29"/>
      <c r="P6" s="29"/>
      <c r="Q6" s="29"/>
      <c r="R6" s="29"/>
      <c r="S6" s="29"/>
      <c r="T6" s="29"/>
      <c r="U6" s="30"/>
      <c r="V6" s="20"/>
      <c r="W6" s="20"/>
      <c r="X6" s="20"/>
      <c r="Y6" s="20"/>
      <c r="Z6" s="20"/>
      <c r="AA6" s="20"/>
      <c r="AB6" s="20"/>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row>
    <row r="7" spans="1:54" s="23" customFormat="1" ht="21.75" customHeight="1" x14ac:dyDescent="0.5">
      <c r="A7" s="1" t="s">
        <v>7</v>
      </c>
      <c r="B7" s="31"/>
      <c r="C7" s="32" t="s">
        <v>8</v>
      </c>
      <c r="D7" s="32"/>
      <c r="E7" s="32"/>
      <c r="F7" s="33"/>
      <c r="G7" s="33"/>
      <c r="H7" s="32"/>
      <c r="I7" s="32"/>
      <c r="J7" s="32"/>
      <c r="K7" s="32"/>
      <c r="L7" s="32"/>
      <c r="M7" s="32"/>
      <c r="N7" s="32"/>
      <c r="O7" s="34"/>
      <c r="P7" s="34"/>
      <c r="Q7" s="34"/>
      <c r="R7" s="35"/>
      <c r="S7" s="35"/>
      <c r="T7" s="35"/>
      <c r="U7" s="36"/>
      <c r="V7" s="1" t="s">
        <v>9</v>
      </c>
      <c r="W7" s="37" t="s">
        <v>10</v>
      </c>
      <c r="X7" s="38">
        <v>1</v>
      </c>
      <c r="Y7" s="38">
        <v>2</v>
      </c>
      <c r="Z7" s="39"/>
      <c r="AA7" s="39"/>
      <c r="AB7" s="20"/>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row>
    <row r="8" spans="1:54" s="23" customFormat="1" ht="21.75" customHeight="1" x14ac:dyDescent="0.5">
      <c r="A8" s="1"/>
      <c r="B8" s="31"/>
      <c r="C8" s="32" t="s">
        <v>11</v>
      </c>
      <c r="D8" s="32"/>
      <c r="E8" s="32"/>
      <c r="F8" s="34" t="s">
        <v>12</v>
      </c>
      <c r="G8" s="32"/>
      <c r="H8" s="32"/>
      <c r="I8" s="32"/>
      <c r="J8" s="32"/>
      <c r="K8" s="32"/>
      <c r="L8" s="32"/>
      <c r="M8" s="32"/>
      <c r="N8" s="32"/>
      <c r="O8" s="34"/>
      <c r="P8" s="34"/>
      <c r="Q8" s="34"/>
      <c r="R8" s="35"/>
      <c r="S8" s="35"/>
      <c r="T8" s="35"/>
      <c r="U8" s="36"/>
      <c r="V8" s="1"/>
      <c r="W8" s="37"/>
      <c r="X8" s="38"/>
      <c r="Y8" s="38"/>
      <c r="Z8" s="39"/>
      <c r="AA8" s="39"/>
      <c r="AB8" s="20"/>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row>
    <row r="9" spans="1:54" s="23" customFormat="1" ht="21.75" customHeight="1" x14ac:dyDescent="0.5">
      <c r="A9" s="1"/>
      <c r="B9" s="40"/>
      <c r="C9" s="41" t="s">
        <v>13</v>
      </c>
      <c r="D9" s="41"/>
      <c r="E9" s="41"/>
      <c r="F9" s="42">
        <v>0</v>
      </c>
      <c r="G9" s="41"/>
      <c r="H9" s="43"/>
      <c r="I9" s="43"/>
      <c r="J9" s="43"/>
      <c r="K9" s="43"/>
      <c r="L9" s="43"/>
      <c r="M9" s="43"/>
      <c r="N9" s="43"/>
      <c r="O9" s="43"/>
      <c r="P9" s="43"/>
      <c r="Q9" s="43"/>
      <c r="R9" s="35"/>
      <c r="S9" s="35"/>
      <c r="T9" s="35"/>
      <c r="U9" s="36"/>
      <c r="V9" s="1"/>
      <c r="W9" s="37"/>
      <c r="X9" s="38"/>
      <c r="Y9" s="38"/>
      <c r="Z9" s="39"/>
      <c r="AA9" s="39"/>
      <c r="AB9" s="20"/>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row>
    <row r="10" spans="1:54" s="50" customFormat="1" x14ac:dyDescent="0.45">
      <c r="A10" s="44"/>
      <c r="B10" s="40"/>
      <c r="C10" s="35" t="s">
        <v>14</v>
      </c>
      <c r="D10" s="35"/>
      <c r="E10" s="35"/>
      <c r="F10" s="42">
        <v>0.15</v>
      </c>
      <c r="G10" s="33"/>
      <c r="H10" s="45"/>
      <c r="I10" s="46"/>
      <c r="J10" s="47"/>
      <c r="K10" s="43"/>
      <c r="L10" s="47"/>
      <c r="M10" s="43"/>
      <c r="N10" s="43"/>
      <c r="O10" s="43"/>
      <c r="P10" s="43"/>
      <c r="Q10" s="43"/>
      <c r="R10" s="35"/>
      <c r="S10" s="35"/>
      <c r="T10" s="35"/>
      <c r="U10" s="36"/>
      <c r="V10" s="48"/>
      <c r="W10" s="37">
        <v>0</v>
      </c>
      <c r="X10" s="38">
        <v>0</v>
      </c>
      <c r="Y10" s="38">
        <v>0</v>
      </c>
      <c r="Z10" s="38"/>
      <c r="AA10" s="38"/>
      <c r="AB10" s="48"/>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row>
    <row r="11" spans="1:54" s="50" customFormat="1" x14ac:dyDescent="0.45">
      <c r="A11" s="44"/>
      <c r="B11" s="31"/>
      <c r="C11" s="32" t="s">
        <v>15</v>
      </c>
      <c r="D11" s="32"/>
      <c r="E11" s="32"/>
      <c r="F11" s="32" t="s">
        <v>16</v>
      </c>
      <c r="G11" s="34"/>
      <c r="H11" s="51"/>
      <c r="I11" s="34"/>
      <c r="J11" s="32"/>
      <c r="K11" s="52"/>
      <c r="L11" s="53"/>
      <c r="M11" s="52"/>
      <c r="N11" s="32"/>
      <c r="O11" s="32"/>
      <c r="P11" s="32"/>
      <c r="Q11" s="32"/>
      <c r="R11" s="54"/>
      <c r="S11" s="35"/>
      <c r="T11" s="55"/>
      <c r="U11" s="56"/>
      <c r="V11" s="48"/>
      <c r="W11" s="37"/>
      <c r="X11" s="57"/>
      <c r="Y11" s="57"/>
      <c r="Z11" s="38"/>
      <c r="AA11" s="38"/>
      <c r="AB11" s="48"/>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row>
    <row r="12" spans="1:54" s="50" customFormat="1" ht="16" thickBot="1" x14ac:dyDescent="0.5">
      <c r="A12" s="44"/>
      <c r="B12" s="58"/>
      <c r="C12" s="59" t="s">
        <v>17</v>
      </c>
      <c r="D12" s="59"/>
      <c r="E12" s="59"/>
      <c r="F12" s="60">
        <v>0.24099999999999999</v>
      </c>
      <c r="G12" s="61"/>
      <c r="H12" s="62"/>
      <c r="I12" s="61"/>
      <c r="J12" s="63"/>
      <c r="K12" s="64"/>
      <c r="L12" s="65"/>
      <c r="M12" s="64"/>
      <c r="N12" s="63"/>
      <c r="O12" s="63"/>
      <c r="P12" s="65"/>
      <c r="Q12" s="63"/>
      <c r="R12" s="66"/>
      <c r="S12" s="59"/>
      <c r="T12" s="67"/>
      <c r="U12" s="68"/>
      <c r="V12" s="69" t="s">
        <v>18</v>
      </c>
      <c r="W12" s="37">
        <v>5000</v>
      </c>
      <c r="X12" s="57">
        <v>0</v>
      </c>
      <c r="Y12" s="57">
        <v>0.15</v>
      </c>
      <c r="Z12" s="38"/>
      <c r="AA12" s="38"/>
      <c r="AB12" s="48"/>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row>
    <row r="13" spans="1:54" s="50" customFormat="1" ht="16" thickBot="1" x14ac:dyDescent="0.5">
      <c r="A13" s="44"/>
      <c r="B13" s="70"/>
      <c r="C13" s="71"/>
      <c r="D13" s="71"/>
      <c r="E13" s="72"/>
      <c r="F13" s="71"/>
      <c r="G13" s="72"/>
      <c r="H13" s="71"/>
      <c r="I13" s="72"/>
      <c r="J13" s="71"/>
      <c r="K13" s="72"/>
      <c r="L13" s="71"/>
      <c r="M13" s="72"/>
      <c r="N13" s="72"/>
      <c r="O13" s="72"/>
      <c r="P13" s="72"/>
      <c r="Q13" s="72"/>
      <c r="R13" s="72"/>
      <c r="S13" s="72"/>
      <c r="T13" s="72"/>
      <c r="U13" s="72"/>
      <c r="V13" s="73"/>
      <c r="W13" s="37"/>
      <c r="X13" s="57">
        <v>0.24099999999999999</v>
      </c>
      <c r="Y13" s="57"/>
      <c r="Z13" s="38"/>
      <c r="AA13" s="38"/>
      <c r="AB13" s="73"/>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row>
    <row r="14" spans="1:54" x14ac:dyDescent="0.35">
      <c r="A14" s="74" t="s">
        <v>19</v>
      </c>
      <c r="B14" s="75"/>
      <c r="C14" s="76"/>
      <c r="D14" s="76"/>
      <c r="E14" s="77"/>
      <c r="F14" s="936" t="s">
        <v>20</v>
      </c>
      <c r="G14" s="936"/>
      <c r="H14" s="936"/>
      <c r="I14" s="936"/>
      <c r="J14" s="936"/>
      <c r="K14" s="936"/>
      <c r="L14" s="936"/>
      <c r="M14" s="937"/>
      <c r="N14" s="938" t="s">
        <v>21</v>
      </c>
      <c r="O14" s="939"/>
      <c r="P14" s="939"/>
      <c r="Q14" s="939"/>
      <c r="R14" s="939"/>
      <c r="S14" s="939"/>
      <c r="T14" s="939"/>
      <c r="U14" s="940"/>
      <c r="V14" s="20"/>
      <c r="W14" s="39"/>
      <c r="X14" s="39"/>
      <c r="Y14" s="39"/>
      <c r="Z14" s="39"/>
      <c r="AA14" s="39"/>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row>
    <row r="15" spans="1:54" ht="16" customHeight="1" x14ac:dyDescent="0.35">
      <c r="A15" s="79"/>
      <c r="B15" s="80"/>
      <c r="C15" s="74" t="s">
        <v>22</v>
      </c>
      <c r="D15" s="74" t="s">
        <v>23</v>
      </c>
      <c r="E15" s="74"/>
      <c r="F15" s="81" t="s">
        <v>24</v>
      </c>
      <c r="G15" s="74"/>
      <c r="H15" s="81" t="s">
        <v>25</v>
      </c>
      <c r="I15" s="74"/>
      <c r="J15" s="81" t="s">
        <v>26</v>
      </c>
      <c r="K15" s="74"/>
      <c r="L15" s="81" t="s">
        <v>27</v>
      </c>
      <c r="M15" s="82"/>
      <c r="N15" s="83" t="s">
        <v>24</v>
      </c>
      <c r="O15" s="74"/>
      <c r="P15" s="74"/>
      <c r="Q15" s="74"/>
      <c r="R15" s="81" t="s">
        <v>25</v>
      </c>
      <c r="S15" s="74"/>
      <c r="T15" s="84" t="s">
        <v>27</v>
      </c>
      <c r="U15" s="85"/>
      <c r="V15" s="20"/>
      <c r="W15" s="86"/>
      <c r="X15" s="87"/>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row>
    <row r="16" spans="1:54" ht="16" customHeight="1" thickBot="1" x14ac:dyDescent="0.4">
      <c r="A16" s="79"/>
      <c r="B16" s="88"/>
      <c r="C16" s="89"/>
      <c r="D16" s="89"/>
      <c r="E16" s="89"/>
      <c r="F16" s="89"/>
      <c r="G16" s="89"/>
      <c r="H16" s="89"/>
      <c r="I16" s="89"/>
      <c r="J16" s="89"/>
      <c r="K16" s="89"/>
      <c r="L16" s="89"/>
      <c r="M16" s="89"/>
      <c r="N16" s="90"/>
      <c r="O16" s="89"/>
      <c r="P16" s="89"/>
      <c r="Q16" s="89"/>
      <c r="R16" s="89"/>
      <c r="S16" s="89"/>
      <c r="T16" s="89"/>
      <c r="U16" s="91"/>
      <c r="V16" s="20"/>
      <c r="W16" s="86"/>
      <c r="X16" s="87"/>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row>
    <row r="17" spans="1:54" ht="16" customHeight="1" x14ac:dyDescent="0.35">
      <c r="A17" s="20"/>
      <c r="B17" s="92"/>
      <c r="C17" s="93"/>
      <c r="D17" s="94"/>
      <c r="E17" s="95"/>
      <c r="F17" s="96"/>
      <c r="G17" s="96"/>
      <c r="H17" s="96"/>
      <c r="I17" s="96"/>
      <c r="J17" s="96"/>
      <c r="K17" s="96"/>
      <c r="L17" s="96"/>
      <c r="M17" s="96"/>
      <c r="N17" s="97"/>
      <c r="O17" s="96"/>
      <c r="P17" s="96"/>
      <c r="Q17" s="96"/>
      <c r="R17" s="96"/>
      <c r="S17" s="96"/>
      <c r="T17" s="96"/>
      <c r="U17" s="98"/>
      <c r="V17" s="20"/>
      <c r="W17" s="86"/>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row>
    <row r="18" spans="1:54" ht="16" customHeight="1" x14ac:dyDescent="0.35">
      <c r="A18" s="20"/>
      <c r="B18" s="92"/>
      <c r="C18" s="94"/>
      <c r="D18" s="94"/>
      <c r="E18" s="95"/>
      <c r="F18" s="96"/>
      <c r="G18" s="96"/>
      <c r="H18" s="96"/>
      <c r="I18" s="96"/>
      <c r="J18" s="96"/>
      <c r="K18" s="96"/>
      <c r="L18" s="96"/>
      <c r="M18" s="96"/>
      <c r="N18" s="97"/>
      <c r="O18" s="96"/>
      <c r="P18" s="96"/>
      <c r="Q18" s="96"/>
      <c r="R18" s="96"/>
      <c r="S18" s="96"/>
      <c r="T18" s="96"/>
      <c r="U18" s="98"/>
      <c r="V18" s="99"/>
      <c r="W18" s="86"/>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row>
    <row r="19" spans="1:54" ht="16" customHeight="1" x14ac:dyDescent="0.35">
      <c r="A19" s="20"/>
      <c r="B19" s="100"/>
      <c r="C19" s="101" t="s">
        <v>28</v>
      </c>
      <c r="D19" s="101">
        <v>6</v>
      </c>
      <c r="E19" s="95"/>
      <c r="F19" s="96">
        <v>21682.194615384615</v>
      </c>
      <c r="G19" s="96"/>
      <c r="H19" s="96">
        <f>IF($F19&gt;$W$13,($F19-$W$12)*$Y$12,"ERROR")</f>
        <v>2502.3291923076922</v>
      </c>
      <c r="I19" s="96"/>
      <c r="J19" s="96">
        <f>$F19*$X$13</f>
        <v>5225.4089023076922</v>
      </c>
      <c r="K19" s="96"/>
      <c r="L19" s="96">
        <f t="shared" ref="L19:L46" si="0">F19+ROUND(H19,0)+ROUND(J19,0)</f>
        <v>29409.194615384615</v>
      </c>
      <c r="M19" s="96"/>
      <c r="N19" s="97">
        <f t="shared" ref="N19:N45" si="1">F19</f>
        <v>21682.194615384615</v>
      </c>
      <c r="O19" s="96"/>
      <c r="P19" s="96"/>
      <c r="Q19" s="96"/>
      <c r="R19" s="96">
        <f t="shared" ref="R19:R46" si="2">IF($N19&gt;$W$12,($N19-$W$12)*$Y$12,"ERROR")</f>
        <v>2502.3291923076922</v>
      </c>
      <c r="S19" s="96"/>
      <c r="T19" s="96">
        <f>SUM(N19:R19)</f>
        <v>24184.523807692305</v>
      </c>
      <c r="U19" s="98"/>
      <c r="V19" s="99"/>
      <c r="W19" s="86"/>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row>
    <row r="20" spans="1:54" ht="16" customHeight="1" x14ac:dyDescent="0.35">
      <c r="A20" s="20"/>
      <c r="B20" s="100"/>
      <c r="C20" s="102" t="s">
        <v>29</v>
      </c>
      <c r="D20" s="101">
        <v>7</v>
      </c>
      <c r="E20" s="95"/>
      <c r="F20" s="96">
        <v>22016.224230769229</v>
      </c>
      <c r="G20" s="96"/>
      <c r="H20" s="96">
        <f>IF($F20&gt;$W$13,($F20-$W$12)*$Y$12,"ERROR")</f>
        <v>2552.4336346153841</v>
      </c>
      <c r="I20" s="96"/>
      <c r="J20" s="96">
        <f>$F20*$X$13</f>
        <v>5305.9100396153835</v>
      </c>
      <c r="K20" s="96"/>
      <c r="L20" s="96">
        <f t="shared" si="0"/>
        <v>29874.224230769229</v>
      </c>
      <c r="M20" s="96"/>
      <c r="N20" s="97">
        <f t="shared" si="1"/>
        <v>22016.224230769229</v>
      </c>
      <c r="O20" s="96"/>
      <c r="P20" s="96"/>
      <c r="Q20" s="96"/>
      <c r="R20" s="96">
        <f t="shared" si="2"/>
        <v>2552.4336346153841</v>
      </c>
      <c r="S20" s="96"/>
      <c r="T20" s="96">
        <f t="shared" ref="T20:T45" si="3">SUM(N20:R20)</f>
        <v>24568.657865384612</v>
      </c>
      <c r="U20" s="98"/>
      <c r="V20" s="20"/>
      <c r="W20" s="86"/>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row>
    <row r="21" spans="1:54" ht="16" customHeight="1" x14ac:dyDescent="0.35">
      <c r="A21" s="20"/>
      <c r="B21" s="100"/>
      <c r="C21" s="101"/>
      <c r="D21" s="101">
        <v>8</v>
      </c>
      <c r="E21" s="95"/>
      <c r="F21" s="96">
        <v>22389.602884615382</v>
      </c>
      <c r="G21" s="96"/>
      <c r="H21" s="96">
        <f>IF($F21&gt;$W$13,($F21-$W$12)*$Y$12,"ERROR")</f>
        <v>2608.4404326923072</v>
      </c>
      <c r="I21" s="96"/>
      <c r="J21" s="96">
        <f>$F21*$X$13</f>
        <v>5395.8942951923073</v>
      </c>
      <c r="K21" s="96"/>
      <c r="L21" s="96">
        <f t="shared" si="0"/>
        <v>30393.602884615382</v>
      </c>
      <c r="M21" s="96"/>
      <c r="N21" s="97">
        <f t="shared" si="1"/>
        <v>22389.602884615382</v>
      </c>
      <c r="O21" s="96"/>
      <c r="P21" s="96"/>
      <c r="Q21" s="96"/>
      <c r="R21" s="96">
        <f t="shared" si="2"/>
        <v>2608.4404326923072</v>
      </c>
      <c r="S21" s="96"/>
      <c r="T21" s="96">
        <f t="shared" si="3"/>
        <v>24998.043317307689</v>
      </c>
      <c r="U21" s="98"/>
      <c r="V21" s="99"/>
      <c r="W21" s="86"/>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row>
    <row r="22" spans="1:54" ht="16" customHeight="1" x14ac:dyDescent="0.35">
      <c r="A22" s="20"/>
      <c r="B22" s="100"/>
      <c r="C22" s="101"/>
      <c r="D22" s="101">
        <v>9</v>
      </c>
      <c r="E22" s="95"/>
      <c r="F22" s="96">
        <v>22725.381346153845</v>
      </c>
      <c r="G22" s="96"/>
      <c r="H22" s="96">
        <f>IF($F22&gt;$W$13,($F22-$W$12)*$Y$12,"ERROR")</f>
        <v>2658.8072019230767</v>
      </c>
      <c r="I22" s="96"/>
      <c r="J22" s="96">
        <f>$F22*$X$13</f>
        <v>5476.8169044230763</v>
      </c>
      <c r="K22" s="96"/>
      <c r="L22" s="96">
        <f t="shared" si="0"/>
        <v>30861.381346153845</v>
      </c>
      <c r="M22" s="96"/>
      <c r="N22" s="97">
        <f t="shared" si="1"/>
        <v>22725.381346153845</v>
      </c>
      <c r="O22" s="96"/>
      <c r="P22" s="96"/>
      <c r="Q22" s="96"/>
      <c r="R22" s="96">
        <f t="shared" si="2"/>
        <v>2658.8072019230767</v>
      </c>
      <c r="S22" s="96"/>
      <c r="T22" s="96">
        <f t="shared" si="3"/>
        <v>25384.18854807692</v>
      </c>
      <c r="U22" s="98"/>
      <c r="V22" s="20"/>
      <c r="W22" s="86"/>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row>
    <row r="23" spans="1:54" ht="16" customHeight="1" x14ac:dyDescent="0.35">
      <c r="A23" s="20"/>
      <c r="B23" s="103"/>
      <c r="C23" s="104"/>
      <c r="D23" s="104"/>
      <c r="E23" s="105"/>
      <c r="F23" s="106"/>
      <c r="G23" s="106"/>
      <c r="H23" s="106"/>
      <c r="I23" s="106"/>
      <c r="J23" s="106"/>
      <c r="K23" s="106"/>
      <c r="L23" s="106"/>
      <c r="M23" s="106"/>
      <c r="N23" s="107"/>
      <c r="O23" s="106"/>
      <c r="P23" s="106"/>
      <c r="Q23" s="106"/>
      <c r="R23" s="106"/>
      <c r="S23" s="106"/>
      <c r="T23" s="106"/>
      <c r="U23" s="108"/>
      <c r="V23" s="20"/>
      <c r="W23" s="86"/>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row>
    <row r="24" spans="1:54" ht="16" customHeight="1" x14ac:dyDescent="0.35">
      <c r="A24" s="20"/>
      <c r="B24" s="100"/>
      <c r="C24" s="101"/>
      <c r="D24" s="101"/>
      <c r="E24" s="95"/>
      <c r="F24" s="96"/>
      <c r="G24" s="96"/>
      <c r="H24" s="96"/>
      <c r="I24" s="96"/>
      <c r="J24" s="96"/>
      <c r="K24" s="96"/>
      <c r="L24" s="96"/>
      <c r="M24" s="96"/>
      <c r="N24" s="97"/>
      <c r="O24" s="96"/>
      <c r="P24" s="96"/>
      <c r="Q24" s="96"/>
      <c r="R24" s="96"/>
      <c r="S24" s="96"/>
      <c r="T24" s="96"/>
      <c r="U24" s="98"/>
      <c r="V24" s="20"/>
      <c r="W24" s="86"/>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row>
    <row r="25" spans="1:54" ht="16" customHeight="1" x14ac:dyDescent="0.35">
      <c r="A25" s="20"/>
      <c r="B25" s="100"/>
      <c r="C25" s="101" t="s">
        <v>30</v>
      </c>
      <c r="D25" s="101">
        <v>12</v>
      </c>
      <c r="E25" s="95"/>
      <c r="F25" s="96">
        <v>23831.526538461538</v>
      </c>
      <c r="G25" s="96"/>
      <c r="H25" s="96">
        <f>IF($F25&gt;$W$13,($F25-$W$12)*$Y$12,"ERROR")</f>
        <v>2824.7289807692305</v>
      </c>
      <c r="I25" s="96"/>
      <c r="J25" s="96">
        <f>$F25*$X$13</f>
        <v>5743.3978957692307</v>
      </c>
      <c r="K25" s="96"/>
      <c r="L25" s="96">
        <f t="shared" si="0"/>
        <v>32399.526538461538</v>
      </c>
      <c r="M25" s="96"/>
      <c r="N25" s="97">
        <f t="shared" si="1"/>
        <v>23831.526538461538</v>
      </c>
      <c r="O25" s="96"/>
      <c r="P25" s="96"/>
      <c r="Q25" s="96"/>
      <c r="R25" s="96">
        <f t="shared" si="2"/>
        <v>2824.7289807692305</v>
      </c>
      <c r="S25" s="96"/>
      <c r="T25" s="96">
        <f t="shared" si="3"/>
        <v>26656.25551923077</v>
      </c>
      <c r="U25" s="98"/>
      <c r="V25" s="99"/>
      <c r="W25" s="86"/>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row>
    <row r="26" spans="1:54" ht="16" customHeight="1" x14ac:dyDescent="0.35">
      <c r="A26" s="20"/>
      <c r="B26" s="100"/>
      <c r="C26" s="102" t="s">
        <v>31</v>
      </c>
      <c r="D26" s="101">
        <v>13</v>
      </c>
      <c r="E26" s="95"/>
      <c r="F26" s="96">
        <v>24591.400192307694</v>
      </c>
      <c r="G26" s="96"/>
      <c r="H26" s="96">
        <f>IF($F26&gt;$W$13,($F26-$W$12)*$Y$12,"ERROR")</f>
        <v>2938.7100288461538</v>
      </c>
      <c r="I26" s="96"/>
      <c r="J26" s="96">
        <f>$F26*$X$13</f>
        <v>5926.5274463461537</v>
      </c>
      <c r="K26" s="96"/>
      <c r="L26" s="96">
        <f t="shared" si="0"/>
        <v>33457.400192307694</v>
      </c>
      <c r="M26" s="96"/>
      <c r="N26" s="97">
        <f t="shared" si="1"/>
        <v>24591.400192307694</v>
      </c>
      <c r="O26" s="96"/>
      <c r="P26" s="96"/>
      <c r="Q26" s="96"/>
      <c r="R26" s="96">
        <f t="shared" si="2"/>
        <v>2938.7100288461538</v>
      </c>
      <c r="S26" s="96"/>
      <c r="T26" s="96">
        <f t="shared" si="3"/>
        <v>27530.110221153849</v>
      </c>
      <c r="U26" s="98"/>
      <c r="V26" s="99"/>
      <c r="W26" s="86"/>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row>
    <row r="27" spans="1:54" ht="16" customHeight="1" x14ac:dyDescent="0.35">
      <c r="A27" s="20"/>
      <c r="B27" s="100"/>
      <c r="C27" s="101"/>
      <c r="D27" s="101">
        <v>14</v>
      </c>
      <c r="E27" s="95"/>
      <c r="F27" s="96">
        <v>25424.725384615387</v>
      </c>
      <c r="G27" s="96"/>
      <c r="H27" s="96">
        <f>IF($F27&gt;$W$13,($F27-$W$12)*$Y$12,"ERROR")</f>
        <v>3063.7088076923078</v>
      </c>
      <c r="I27" s="96"/>
      <c r="J27" s="96">
        <f>$F27*$X$13</f>
        <v>6127.3588176923085</v>
      </c>
      <c r="K27" s="96"/>
      <c r="L27" s="96">
        <f>F27+ROUND(H27,0)+ROUND(J27,0)</f>
        <v>34615.725384615391</v>
      </c>
      <c r="M27" s="96"/>
      <c r="N27" s="97">
        <f>F27</f>
        <v>25424.725384615387</v>
      </c>
      <c r="O27" s="96"/>
      <c r="P27" s="96"/>
      <c r="Q27" s="96"/>
      <c r="R27" s="96">
        <f t="shared" si="2"/>
        <v>3063.7088076923078</v>
      </c>
      <c r="S27" s="96"/>
      <c r="T27" s="96">
        <f>SUM(N27:R27)</f>
        <v>28488.434192307694</v>
      </c>
      <c r="U27" s="98"/>
      <c r="V27" s="99"/>
      <c r="W27" s="86"/>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row>
    <row r="28" spans="1:54" ht="16" customHeight="1" x14ac:dyDescent="0.35">
      <c r="A28" s="20"/>
      <c r="B28" s="100"/>
      <c r="C28" s="101"/>
      <c r="D28" s="101">
        <v>15</v>
      </c>
      <c r="E28" s="95"/>
      <c r="F28" s="96">
        <v>26253.67846153846</v>
      </c>
      <c r="G28" s="96"/>
      <c r="H28" s="96">
        <f>IF($F28&gt;$W$13,($F28-$W$12)*$Y$12,"ERROR")</f>
        <v>3188.051769230769</v>
      </c>
      <c r="I28" s="96"/>
      <c r="J28" s="96">
        <f>$F28*$X$13</f>
        <v>6327.1365092307688</v>
      </c>
      <c r="K28" s="96"/>
      <c r="L28" s="96">
        <f>F28+ROUND(H28,0)+ROUND(J28,0)</f>
        <v>35768.67846153846</v>
      </c>
      <c r="M28" s="96"/>
      <c r="N28" s="97">
        <f>F28</f>
        <v>26253.67846153846</v>
      </c>
      <c r="O28" s="96"/>
      <c r="P28" s="96"/>
      <c r="Q28" s="96"/>
      <c r="R28" s="96">
        <f t="shared" si="2"/>
        <v>3188.051769230769</v>
      </c>
      <c r="S28" s="96"/>
      <c r="T28" s="96">
        <f>SUM(N28:R28)</f>
        <v>29441.73023076923</v>
      </c>
      <c r="U28" s="98"/>
      <c r="V28" s="99"/>
      <c r="W28" s="86"/>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row>
    <row r="29" spans="1:54" ht="16" customHeight="1" x14ac:dyDescent="0.35">
      <c r="A29" s="20"/>
      <c r="B29" s="103"/>
      <c r="C29" s="104"/>
      <c r="D29" s="104"/>
      <c r="E29" s="105"/>
      <c r="F29" s="106"/>
      <c r="G29" s="106"/>
      <c r="H29" s="106"/>
      <c r="I29" s="106"/>
      <c r="J29" s="106"/>
      <c r="K29" s="106"/>
      <c r="L29" s="106"/>
      <c r="M29" s="106"/>
      <c r="N29" s="107"/>
      <c r="O29" s="106"/>
      <c r="P29" s="106"/>
      <c r="Q29" s="106"/>
      <c r="R29" s="106"/>
      <c r="S29" s="106"/>
      <c r="T29" s="106"/>
      <c r="U29" s="108"/>
      <c r="V29" s="99"/>
      <c r="W29" s="86"/>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row>
    <row r="30" spans="1:54" ht="16" customHeight="1" x14ac:dyDescent="0.35">
      <c r="A30" s="20"/>
      <c r="B30" s="100"/>
      <c r="C30" s="101"/>
      <c r="D30" s="101"/>
      <c r="E30" s="95"/>
      <c r="F30" s="96"/>
      <c r="G30" s="96"/>
      <c r="H30" s="96"/>
      <c r="I30" s="96"/>
      <c r="J30" s="96"/>
      <c r="K30" s="96"/>
      <c r="L30" s="96"/>
      <c r="M30" s="96"/>
      <c r="N30" s="97"/>
      <c r="O30" s="96"/>
      <c r="P30" s="96"/>
      <c r="Q30" s="96"/>
      <c r="R30" s="96"/>
      <c r="S30" s="96"/>
      <c r="T30" s="96"/>
      <c r="U30" s="98"/>
      <c r="V30" s="99"/>
      <c r="W30" s="86"/>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row>
    <row r="31" spans="1:54" ht="16" customHeight="1" x14ac:dyDescent="0.35">
      <c r="A31" s="20"/>
      <c r="B31" s="100"/>
      <c r="C31" s="101" t="s">
        <v>32</v>
      </c>
      <c r="D31" s="101">
        <v>15</v>
      </c>
      <c r="E31" s="95"/>
      <c r="F31" s="96">
        <v>26253.67846153846</v>
      </c>
      <c r="G31" s="96"/>
      <c r="H31" s="96">
        <f>IF($F31&gt;$W$13,($F31-$W$12)*$Y$12,"ERROR")</f>
        <v>3188.051769230769</v>
      </c>
      <c r="I31" s="96"/>
      <c r="J31" s="96">
        <f>$F31*$X$13</f>
        <v>6327.1365092307688</v>
      </c>
      <c r="K31" s="96"/>
      <c r="L31" s="96">
        <f t="shared" si="0"/>
        <v>35768.67846153846</v>
      </c>
      <c r="M31" s="96"/>
      <c r="N31" s="97">
        <f t="shared" si="1"/>
        <v>26253.67846153846</v>
      </c>
      <c r="O31" s="96"/>
      <c r="P31" s="96"/>
      <c r="Q31" s="96"/>
      <c r="R31" s="96">
        <f t="shared" si="2"/>
        <v>3188.051769230769</v>
      </c>
      <c r="S31" s="96"/>
      <c r="T31" s="96">
        <f t="shared" si="3"/>
        <v>29441.73023076923</v>
      </c>
      <c r="U31" s="98"/>
      <c r="V31" s="99"/>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1:54" ht="16" customHeight="1" x14ac:dyDescent="0.35">
      <c r="A32" s="20"/>
      <c r="B32" s="100"/>
      <c r="C32" s="101" t="s">
        <v>33</v>
      </c>
      <c r="D32" s="101">
        <v>16</v>
      </c>
      <c r="E32" s="95"/>
      <c r="F32" s="96">
        <v>26981.198461538461</v>
      </c>
      <c r="G32" s="96"/>
      <c r="H32" s="96">
        <f>IF($F32&gt;$W$13,($F32-$W$12)*$Y$12,"ERROR")</f>
        <v>3297.1797692307691</v>
      </c>
      <c r="I32" s="96"/>
      <c r="J32" s="96">
        <f>$F32*$X$13</f>
        <v>6502.4688292307692</v>
      </c>
      <c r="K32" s="96"/>
      <c r="L32" s="96">
        <f t="shared" si="0"/>
        <v>36780.198461538457</v>
      </c>
      <c r="M32" s="96"/>
      <c r="N32" s="97">
        <f t="shared" si="1"/>
        <v>26981.198461538461</v>
      </c>
      <c r="O32" s="96"/>
      <c r="P32" s="96"/>
      <c r="Q32" s="96"/>
      <c r="R32" s="96">
        <f t="shared" si="2"/>
        <v>3297.1797692307691</v>
      </c>
      <c r="S32" s="96"/>
      <c r="T32" s="96">
        <f t="shared" si="3"/>
        <v>30278.378230769231</v>
      </c>
      <c r="U32" s="98"/>
      <c r="V32" s="99"/>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1:54" ht="16" customHeight="1" x14ac:dyDescent="0.35">
      <c r="A33" s="20"/>
      <c r="B33" s="100"/>
      <c r="C33" s="102" t="s">
        <v>34</v>
      </c>
      <c r="D33" s="101">
        <v>17</v>
      </c>
      <c r="E33" s="95"/>
      <c r="F33" s="96">
        <v>27706.095192307694</v>
      </c>
      <c r="G33" s="96"/>
      <c r="H33" s="96">
        <f>IF($F33&gt;$W$13,($F33-$W$12)*$Y$12,"ERROR")</f>
        <v>3405.914278846154</v>
      </c>
      <c r="I33" s="96"/>
      <c r="J33" s="96">
        <f>$F33*$X$13</f>
        <v>6677.1689413461536</v>
      </c>
      <c r="K33" s="96"/>
      <c r="L33" s="96">
        <f t="shared" si="0"/>
        <v>37789.095192307694</v>
      </c>
      <c r="M33" s="96"/>
      <c r="N33" s="97">
        <f t="shared" si="1"/>
        <v>27706.095192307694</v>
      </c>
      <c r="O33" s="96"/>
      <c r="P33" s="96"/>
      <c r="Q33" s="96"/>
      <c r="R33" s="96">
        <f t="shared" si="2"/>
        <v>3405.914278846154</v>
      </c>
      <c r="S33" s="96"/>
      <c r="T33" s="96">
        <f t="shared" si="3"/>
        <v>31112.009471153848</v>
      </c>
      <c r="U33" s="98"/>
      <c r="V33" s="99"/>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row>
    <row r="34" spans="1:54" ht="16" customHeight="1" x14ac:dyDescent="0.35">
      <c r="A34" s="20"/>
      <c r="B34" s="100"/>
      <c r="C34" s="101"/>
      <c r="D34" s="101">
        <v>18</v>
      </c>
      <c r="E34" s="95"/>
      <c r="F34" s="96">
        <v>28503.569038461537</v>
      </c>
      <c r="G34" s="96"/>
      <c r="H34" s="96">
        <f>IF($F34&gt;$W$13,($F34-$W$12)*$Y$12,"ERROR")</f>
        <v>3525.5353557692306</v>
      </c>
      <c r="I34" s="96"/>
      <c r="J34" s="96">
        <f>$F34*$X$13</f>
        <v>6869.3601382692304</v>
      </c>
      <c r="K34" s="96"/>
      <c r="L34" s="96">
        <f t="shared" si="0"/>
        <v>38898.569038461537</v>
      </c>
      <c r="M34" s="96"/>
      <c r="N34" s="97">
        <f t="shared" si="1"/>
        <v>28503.569038461537</v>
      </c>
      <c r="O34" s="96"/>
      <c r="P34" s="96"/>
      <c r="Q34" s="96"/>
      <c r="R34" s="96">
        <f t="shared" si="2"/>
        <v>3525.5353557692306</v>
      </c>
      <c r="S34" s="96"/>
      <c r="T34" s="96">
        <f t="shared" si="3"/>
        <v>32029.104394230766</v>
      </c>
      <c r="U34" s="98"/>
      <c r="V34" s="99"/>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row>
    <row r="35" spans="1:54" ht="16" customHeight="1" x14ac:dyDescent="0.35">
      <c r="A35" s="20"/>
      <c r="B35" s="103"/>
      <c r="C35" s="104"/>
      <c r="D35" s="104"/>
      <c r="E35" s="105"/>
      <c r="F35" s="106"/>
      <c r="G35" s="106"/>
      <c r="H35" s="106"/>
      <c r="I35" s="106"/>
      <c r="J35" s="106"/>
      <c r="K35" s="106"/>
      <c r="L35" s="106"/>
      <c r="M35" s="106"/>
      <c r="N35" s="107"/>
      <c r="O35" s="106"/>
      <c r="P35" s="106"/>
      <c r="Q35" s="106"/>
      <c r="R35" s="106"/>
      <c r="S35" s="106"/>
      <c r="T35" s="106"/>
      <c r="U35" s="108"/>
      <c r="V35" s="99"/>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row>
    <row r="36" spans="1:54" ht="16" customHeight="1" x14ac:dyDescent="0.35">
      <c r="A36" s="20"/>
      <c r="B36" s="100"/>
      <c r="C36" s="101"/>
      <c r="D36" s="101"/>
      <c r="E36" s="95"/>
      <c r="F36" s="96"/>
      <c r="G36" s="96"/>
      <c r="H36" s="96"/>
      <c r="I36" s="96"/>
      <c r="J36" s="96"/>
      <c r="K36" s="96"/>
      <c r="L36" s="96"/>
      <c r="M36" s="96"/>
      <c r="N36" s="97"/>
      <c r="O36" s="96"/>
      <c r="P36" s="96"/>
      <c r="Q36" s="96"/>
      <c r="R36" s="96"/>
      <c r="S36" s="96"/>
      <c r="T36" s="96"/>
      <c r="U36" s="98"/>
      <c r="V36" s="99"/>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row>
    <row r="37" spans="1:54" ht="16" customHeight="1" x14ac:dyDescent="0.35">
      <c r="A37" s="20"/>
      <c r="B37" s="100"/>
      <c r="C37" s="101" t="s">
        <v>35</v>
      </c>
      <c r="D37" s="101">
        <v>18</v>
      </c>
      <c r="E37" s="95"/>
      <c r="F37" s="96">
        <v>28503.569038461537</v>
      </c>
      <c r="G37" s="96"/>
      <c r="H37" s="96">
        <f>IF($F37&gt;$W$13,($F37-$W$12)*$Y$12,"ERROR")</f>
        <v>3525.5353557692306</v>
      </c>
      <c r="I37" s="96"/>
      <c r="J37" s="96">
        <f>$F37*$X$13</f>
        <v>6869.3601382692304</v>
      </c>
      <c r="K37" s="96"/>
      <c r="L37" s="96">
        <f t="shared" si="0"/>
        <v>38898.569038461537</v>
      </c>
      <c r="M37" s="96"/>
      <c r="N37" s="97">
        <f t="shared" si="1"/>
        <v>28503.569038461537</v>
      </c>
      <c r="O37" s="96"/>
      <c r="P37" s="96"/>
      <c r="Q37" s="96"/>
      <c r="R37" s="96">
        <f t="shared" si="2"/>
        <v>3525.5353557692306</v>
      </c>
      <c r="S37" s="96"/>
      <c r="T37" s="96">
        <f t="shared" si="3"/>
        <v>32029.104394230766</v>
      </c>
      <c r="U37" s="98"/>
      <c r="V37" s="99"/>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row>
    <row r="38" spans="1:54" ht="16" customHeight="1" x14ac:dyDescent="0.35">
      <c r="A38" s="20"/>
      <c r="B38" s="100"/>
      <c r="C38" s="101" t="s">
        <v>36</v>
      </c>
      <c r="D38" s="101">
        <v>19</v>
      </c>
      <c r="E38" s="95"/>
      <c r="F38" s="96">
        <v>29231.96346153846</v>
      </c>
      <c r="G38" s="96"/>
      <c r="H38" s="96">
        <f>IF($F38&gt;$W$13,($F38-$W$12)*$Y$12,"ERROR")</f>
        <v>3634.7945192307689</v>
      </c>
      <c r="I38" s="96"/>
      <c r="J38" s="96">
        <f>$F38*$X$13</f>
        <v>7044.9031942307683</v>
      </c>
      <c r="K38" s="96"/>
      <c r="L38" s="96">
        <f t="shared" si="0"/>
        <v>39911.963461538457</v>
      </c>
      <c r="M38" s="96"/>
      <c r="N38" s="97">
        <f>F38</f>
        <v>29231.96346153846</v>
      </c>
      <c r="O38" s="96"/>
      <c r="P38" s="96"/>
      <c r="Q38" s="96"/>
      <c r="R38" s="96">
        <f t="shared" si="2"/>
        <v>3634.7945192307689</v>
      </c>
      <c r="S38" s="96"/>
      <c r="T38" s="96">
        <f>SUM(N38:R38)</f>
        <v>32866.757980769231</v>
      </c>
      <c r="U38" s="98"/>
      <c r="V38" s="99"/>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row>
    <row r="39" spans="1:54" ht="16" customHeight="1" x14ac:dyDescent="0.35">
      <c r="A39" s="20"/>
      <c r="B39" s="100"/>
      <c r="C39" s="102" t="s">
        <v>37</v>
      </c>
      <c r="D39" s="101">
        <v>20</v>
      </c>
      <c r="E39" s="95"/>
      <c r="F39" s="96">
        <v>30099.391153846154</v>
      </c>
      <c r="G39" s="96"/>
      <c r="H39" s="96">
        <f>IF($F39&gt;$W$13,($F39-$W$12)*$Y$12,"ERROR")</f>
        <v>3764.9086730769232</v>
      </c>
      <c r="I39" s="96"/>
      <c r="J39" s="96">
        <f>$F39*$X$13</f>
        <v>7253.9532680769225</v>
      </c>
      <c r="K39" s="96"/>
      <c r="L39" s="96">
        <f t="shared" si="0"/>
        <v>41118.391153846154</v>
      </c>
      <c r="M39" s="96"/>
      <c r="N39" s="97">
        <f>F39</f>
        <v>30099.391153846154</v>
      </c>
      <c r="O39" s="96"/>
      <c r="P39" s="96"/>
      <c r="Q39" s="96"/>
      <c r="R39" s="96">
        <f t="shared" si="2"/>
        <v>3764.9086730769232</v>
      </c>
      <c r="S39" s="96"/>
      <c r="T39" s="96">
        <f>SUM(N39:R39)</f>
        <v>33864.299826923074</v>
      </c>
      <c r="U39" s="98"/>
      <c r="V39" s="99"/>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1:54" ht="16" customHeight="1" x14ac:dyDescent="0.35">
      <c r="A40" s="20"/>
      <c r="B40" s="100"/>
      <c r="C40" s="101"/>
      <c r="D40" s="101">
        <v>21</v>
      </c>
      <c r="E40" s="95"/>
      <c r="F40" s="96">
        <v>30965.07</v>
      </c>
      <c r="G40" s="96"/>
      <c r="H40" s="96">
        <f>IF($F40&gt;$W$13,($F40-$W$12)*$Y$12,"ERROR")</f>
        <v>3894.7604999999999</v>
      </c>
      <c r="I40" s="96"/>
      <c r="J40" s="96">
        <f>$F40*$X$13</f>
        <v>7462.58187</v>
      </c>
      <c r="K40" s="96"/>
      <c r="L40" s="96">
        <f t="shared" si="0"/>
        <v>42323.07</v>
      </c>
      <c r="M40" s="96"/>
      <c r="N40" s="97">
        <f>F40</f>
        <v>30965.07</v>
      </c>
      <c r="O40" s="96"/>
      <c r="P40" s="96"/>
      <c r="Q40" s="96"/>
      <c r="R40" s="96">
        <f t="shared" si="2"/>
        <v>3894.7604999999999</v>
      </c>
      <c r="S40" s="96"/>
      <c r="T40" s="96">
        <f>SUM(N40:R40)</f>
        <v>34859.830499999996</v>
      </c>
      <c r="U40" s="98"/>
      <c r="V40" s="99"/>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1:54" ht="16" customHeight="1" x14ac:dyDescent="0.35">
      <c r="A41" s="20"/>
      <c r="B41" s="103"/>
      <c r="C41" s="104"/>
      <c r="D41" s="104"/>
      <c r="E41" s="105"/>
      <c r="F41" s="106"/>
      <c r="G41" s="106"/>
      <c r="H41" s="106"/>
      <c r="I41" s="106"/>
      <c r="J41" s="106"/>
      <c r="K41" s="106"/>
      <c r="L41" s="106"/>
      <c r="M41" s="106"/>
      <c r="N41" s="107"/>
      <c r="O41" s="106"/>
      <c r="P41" s="106"/>
      <c r="Q41" s="106"/>
      <c r="R41" s="106"/>
      <c r="S41" s="106"/>
      <c r="T41" s="106"/>
      <c r="U41" s="108"/>
      <c r="V41" s="99"/>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row>
    <row r="42" spans="1:54" ht="16" customHeight="1" x14ac:dyDescent="0.35">
      <c r="A42" s="20"/>
      <c r="B42" s="100"/>
      <c r="C42" s="101"/>
      <c r="D42" s="101"/>
      <c r="E42" s="95"/>
      <c r="F42" s="96"/>
      <c r="G42" s="96"/>
      <c r="H42" s="96"/>
      <c r="I42" s="96"/>
      <c r="J42" s="96"/>
      <c r="K42" s="96"/>
      <c r="L42" s="96"/>
      <c r="M42" s="96"/>
      <c r="N42" s="97"/>
      <c r="O42" s="96"/>
      <c r="P42" s="96"/>
      <c r="Q42" s="96"/>
      <c r="R42" s="96"/>
      <c r="S42" s="96"/>
      <c r="T42" s="96"/>
      <c r="U42" s="98"/>
      <c r="V42" s="99"/>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row>
    <row r="43" spans="1:54" ht="16" customHeight="1" x14ac:dyDescent="0.35">
      <c r="A43" s="20"/>
      <c r="B43" s="100"/>
      <c r="C43" s="101" t="s">
        <v>38</v>
      </c>
      <c r="D43" s="101">
        <v>21</v>
      </c>
      <c r="E43" s="95"/>
      <c r="F43" s="96">
        <v>31387.29</v>
      </c>
      <c r="G43" s="96"/>
      <c r="H43" s="96">
        <f>IF($F43&gt;$W$13,($F43-$W$12)*$Y$12,"ERROR")</f>
        <v>3958.0934999999999</v>
      </c>
      <c r="I43" s="96"/>
      <c r="J43" s="96">
        <f>$F43*$X$13</f>
        <v>7564.3368899999996</v>
      </c>
      <c r="K43" s="96"/>
      <c r="L43" s="96">
        <f t="shared" si="0"/>
        <v>42909.29</v>
      </c>
      <c r="M43" s="96"/>
      <c r="N43" s="97">
        <f t="shared" si="1"/>
        <v>31387.29</v>
      </c>
      <c r="O43" s="96"/>
      <c r="P43" s="96"/>
      <c r="Q43" s="96"/>
      <c r="R43" s="96">
        <f t="shared" si="2"/>
        <v>3958.0934999999999</v>
      </c>
      <c r="S43" s="96"/>
      <c r="T43" s="96">
        <f t="shared" si="3"/>
        <v>35345.383500000004</v>
      </c>
      <c r="U43" s="98"/>
      <c r="V43" s="99"/>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row>
    <row r="44" spans="1:54" ht="16" customHeight="1" x14ac:dyDescent="0.35">
      <c r="A44" s="20"/>
      <c r="B44" s="100"/>
      <c r="C44" s="101" t="s">
        <v>39</v>
      </c>
      <c r="D44" s="101">
        <v>22</v>
      </c>
      <c r="E44" s="95"/>
      <c r="F44" s="96">
        <v>32548.403461538466</v>
      </c>
      <c r="G44" s="96"/>
      <c r="H44" s="96">
        <f>IF($F44&gt;$W$13,($F44-$W$12)*$Y$12,"ERROR")</f>
        <v>4132.2605192307701</v>
      </c>
      <c r="I44" s="96"/>
      <c r="J44" s="96">
        <f>$F44*$X$13</f>
        <v>7844.1652342307698</v>
      </c>
      <c r="K44" s="96"/>
      <c r="L44" s="96">
        <f t="shared" si="0"/>
        <v>44524.403461538466</v>
      </c>
      <c r="M44" s="96"/>
      <c r="N44" s="97">
        <f t="shared" si="1"/>
        <v>32548.403461538466</v>
      </c>
      <c r="O44" s="96"/>
      <c r="P44" s="96"/>
      <c r="Q44" s="96"/>
      <c r="R44" s="96">
        <f t="shared" si="2"/>
        <v>4132.2605192307701</v>
      </c>
      <c r="S44" s="96"/>
      <c r="T44" s="96">
        <f t="shared" si="3"/>
        <v>36680.663980769234</v>
      </c>
      <c r="U44" s="98"/>
      <c r="V44" s="99"/>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row>
    <row r="45" spans="1:54" ht="16" customHeight="1" x14ac:dyDescent="0.35">
      <c r="A45" s="20"/>
      <c r="B45" s="100"/>
      <c r="C45" s="102" t="s">
        <v>40</v>
      </c>
      <c r="D45" s="101">
        <v>23</v>
      </c>
      <c r="E45" s="95"/>
      <c r="F45" s="96">
        <v>33603.155384615391</v>
      </c>
      <c r="G45" s="96"/>
      <c r="H45" s="96">
        <f>IF($F45&gt;$W$13,($F45-$W$12)*$Y$12,"ERROR")</f>
        <v>4290.4733076923085</v>
      </c>
      <c r="I45" s="96"/>
      <c r="J45" s="96">
        <f>$F45*$X$13</f>
        <v>8098.3604476923092</v>
      </c>
      <c r="K45" s="96"/>
      <c r="L45" s="96">
        <f t="shared" si="0"/>
        <v>45991.155384615391</v>
      </c>
      <c r="M45" s="96"/>
      <c r="N45" s="97">
        <f t="shared" si="1"/>
        <v>33603.155384615391</v>
      </c>
      <c r="O45" s="96"/>
      <c r="P45" s="96"/>
      <c r="Q45" s="96"/>
      <c r="R45" s="96">
        <f t="shared" si="2"/>
        <v>4290.4733076923085</v>
      </c>
      <c r="S45" s="96"/>
      <c r="T45" s="96">
        <f t="shared" si="3"/>
        <v>37893.628692307699</v>
      </c>
      <c r="U45" s="98"/>
      <c r="V45" s="99"/>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row>
    <row r="46" spans="1:54" ht="16" customHeight="1" x14ac:dyDescent="0.35">
      <c r="A46" s="20"/>
      <c r="B46" s="100"/>
      <c r="C46" s="101"/>
      <c r="D46" s="101">
        <v>24</v>
      </c>
      <c r="E46" s="95"/>
      <c r="F46" s="96">
        <v>34702.224615384614</v>
      </c>
      <c r="G46" s="96"/>
      <c r="H46" s="96">
        <f>IF($F46&gt;$W$13,($F46-$W$12)*$Y$12,"ERROR")</f>
        <v>4455.3336923076922</v>
      </c>
      <c r="I46" s="96"/>
      <c r="J46" s="96">
        <f>$F46*$X$13</f>
        <v>8363.2361323076912</v>
      </c>
      <c r="K46" s="96"/>
      <c r="L46" s="96">
        <f t="shared" si="0"/>
        <v>47520.224615384614</v>
      </c>
      <c r="M46" s="96"/>
      <c r="N46" s="97">
        <f>F46</f>
        <v>34702.224615384614</v>
      </c>
      <c r="O46" s="96"/>
      <c r="P46" s="96"/>
      <c r="Q46" s="96"/>
      <c r="R46" s="96">
        <f t="shared" si="2"/>
        <v>4455.3336923076922</v>
      </c>
      <c r="S46" s="96"/>
      <c r="T46" s="96">
        <f>SUM(N46:R46)</f>
        <v>39157.558307692307</v>
      </c>
      <c r="U46" s="98"/>
      <c r="V46" s="99"/>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row>
    <row r="47" spans="1:54" ht="16" customHeight="1" thickBot="1" x14ac:dyDescent="0.4">
      <c r="A47" s="20"/>
      <c r="B47" s="109"/>
      <c r="C47" s="110"/>
      <c r="D47" s="110"/>
      <c r="E47" s="111"/>
      <c r="F47" s="112"/>
      <c r="G47" s="112"/>
      <c r="H47" s="112"/>
      <c r="I47" s="112"/>
      <c r="J47" s="112"/>
      <c r="K47" s="112"/>
      <c r="L47" s="112"/>
      <c r="M47" s="112"/>
      <c r="N47" s="113"/>
      <c r="O47" s="112"/>
      <c r="P47" s="112"/>
      <c r="Q47" s="112"/>
      <c r="R47" s="112"/>
      <c r="S47" s="112"/>
      <c r="T47" s="112"/>
      <c r="U47" s="114"/>
      <c r="V47" s="99"/>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row>
    <row r="48" spans="1:54" ht="16" customHeight="1" x14ac:dyDescent="0.3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row>
    <row r="49" spans="1:54" x14ac:dyDescent="0.3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row>
    <row r="50" spans="1:54" x14ac:dyDescent="0.35">
      <c r="A50" s="20"/>
      <c r="B50" s="20"/>
      <c r="C50" s="115"/>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row>
    <row r="51" spans="1:54" x14ac:dyDescent="0.3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row>
    <row r="52" spans="1:54" x14ac:dyDescent="0.3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row>
    <row r="53" spans="1:54" x14ac:dyDescent="0.3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row>
    <row r="54" spans="1:54" x14ac:dyDescent="0.3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row>
    <row r="55" spans="1:54" x14ac:dyDescent="0.3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row>
    <row r="56" spans="1:54" x14ac:dyDescent="0.3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row>
    <row r="57" spans="1:54" x14ac:dyDescent="0.3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row>
    <row r="58" spans="1:54" x14ac:dyDescent="0.3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row>
    <row r="59" spans="1:54" x14ac:dyDescent="0.3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row>
    <row r="60" spans="1:54" x14ac:dyDescent="0.3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row>
    <row r="61" spans="1:54" x14ac:dyDescent="0.3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row>
    <row r="62" spans="1:54" x14ac:dyDescent="0.3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row>
    <row r="63" spans="1:54" x14ac:dyDescent="0.3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row>
    <row r="64" spans="1:54" x14ac:dyDescent="0.3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row>
    <row r="65" spans="1:54" x14ac:dyDescent="0.3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row>
    <row r="66" spans="1:54" x14ac:dyDescent="0.3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row>
    <row r="67" spans="1:54" x14ac:dyDescent="0.3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row>
    <row r="68" spans="1:54" x14ac:dyDescent="0.3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row>
    <row r="69" spans="1:54" x14ac:dyDescent="0.3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row>
    <row r="70" spans="1:54" x14ac:dyDescent="0.3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row>
    <row r="71" spans="1:54" x14ac:dyDescent="0.3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row>
  </sheetData>
  <mergeCells count="2">
    <mergeCell ref="F14:M14"/>
    <mergeCell ref="N14:U14"/>
  </mergeCells>
  <pageMargins left="0.35433070866141736" right="0.35433070866141736" top="0.98425196850393704" bottom="0.98425196850393704" header="0.51181102362204722" footer="0.51181102362204722"/>
  <pageSetup paperSize="9" scale="74"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A168-3E01-4788-9EDE-9332BC420E85}">
  <sheetPr>
    <tabColor rgb="FFCC00CC"/>
    <pageSetUpPr fitToPage="1"/>
  </sheetPr>
  <dimension ref="A1:BF97"/>
  <sheetViews>
    <sheetView topLeftCell="A3" zoomScale="80" zoomScaleNormal="80" workbookViewId="0">
      <selection activeCell="E19" sqref="E19"/>
    </sheetView>
  </sheetViews>
  <sheetFormatPr defaultColWidth="8.7265625" defaultRowHeight="15.5" x14ac:dyDescent="0.35"/>
  <cols>
    <col min="1" max="1" width="8.7265625" style="78"/>
    <col min="2" max="2" width="15.453125" style="78" customWidth="1"/>
    <col min="3" max="3" width="11.81640625" style="78" customWidth="1"/>
    <col min="4" max="4" width="3" style="78" customWidth="1"/>
    <col min="5" max="5" width="11.54296875" style="78" customWidth="1"/>
    <col min="6" max="6" width="3.1796875" style="78" customWidth="1"/>
    <col min="7" max="7" width="9.7265625" style="78" bestFit="1" customWidth="1"/>
    <col min="8" max="8" width="3.54296875" style="78" customWidth="1"/>
    <col min="9" max="9" width="9.453125" style="78" bestFit="1" customWidth="1"/>
    <col min="10" max="10" width="3.1796875" style="78" customWidth="1"/>
    <col min="11" max="11" width="9.81640625" style="78" bestFit="1" customWidth="1"/>
    <col min="12" max="12" width="3.54296875" style="78" customWidth="1"/>
    <col min="13" max="13" width="11.54296875" style="78" customWidth="1"/>
    <col min="14" max="14" width="3.1796875" style="78" customWidth="1"/>
    <col min="15" max="15" width="6.54296875" style="78" customWidth="1"/>
    <col min="16" max="16" width="3.54296875" style="78" customWidth="1"/>
    <col min="17" max="17" width="8.453125" style="78" customWidth="1"/>
    <col min="18" max="18" width="3" style="78" customWidth="1"/>
    <col min="19" max="19" width="12.1796875" style="78" customWidth="1"/>
    <col min="20" max="20" width="3.54296875" style="78" customWidth="1"/>
    <col min="21" max="21" width="12.81640625" style="78" customWidth="1"/>
    <col min="22" max="24" width="9.81640625" style="78" customWidth="1"/>
    <col min="25" max="16384" width="8.7265625" style="78"/>
  </cols>
  <sheetData>
    <row r="1" spans="1:58" ht="25" x14ac:dyDescent="0.5">
      <c r="A1" s="2" t="s">
        <v>0</v>
      </c>
      <c r="B1" s="116"/>
      <c r="C1" s="116"/>
      <c r="D1" s="116"/>
      <c r="E1" s="116"/>
      <c r="F1" s="116"/>
      <c r="G1" s="116"/>
      <c r="H1" s="116"/>
      <c r="I1" s="116"/>
      <c r="J1" s="116"/>
      <c r="K1" s="116"/>
      <c r="L1" s="116"/>
      <c r="M1" s="116"/>
      <c r="N1" s="117"/>
      <c r="O1" s="117"/>
      <c r="P1" s="117"/>
      <c r="Q1" s="117"/>
      <c r="R1" s="117"/>
      <c r="S1" s="116"/>
      <c r="T1" s="118"/>
      <c r="U1" s="119"/>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row>
    <row r="2" spans="1:58" s="23" customFormat="1" ht="21" x14ac:dyDescent="0.5">
      <c r="A2" s="120" t="s">
        <v>41</v>
      </c>
      <c r="B2" s="121"/>
      <c r="C2" s="121"/>
      <c r="D2" s="121"/>
      <c r="E2" s="121"/>
      <c r="F2" s="122"/>
      <c r="G2" s="121"/>
      <c r="H2" s="121"/>
      <c r="I2" s="121"/>
      <c r="J2" s="121"/>
      <c r="K2" s="121"/>
      <c r="L2" s="121"/>
      <c r="M2" s="121"/>
      <c r="N2" s="123"/>
      <c r="O2" s="123"/>
      <c r="P2" s="123"/>
      <c r="Q2" s="123"/>
      <c r="R2" s="123"/>
      <c r="S2" s="121"/>
      <c r="T2" s="124"/>
      <c r="U2" s="22"/>
      <c r="V2" s="125"/>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row>
    <row r="3" spans="1:58" s="23" customFormat="1" ht="18" x14ac:dyDescent="0.5">
      <c r="A3" s="126" t="s">
        <v>3</v>
      </c>
      <c r="B3" s="127"/>
      <c r="C3" s="127"/>
      <c r="D3" s="127"/>
      <c r="E3" s="127"/>
      <c r="F3" s="128"/>
      <c r="G3" s="127"/>
      <c r="H3" s="127"/>
      <c r="I3" s="127"/>
      <c r="J3" s="127"/>
      <c r="K3" s="127"/>
      <c r="L3" s="127"/>
      <c r="M3" s="127"/>
      <c r="N3" s="127"/>
      <c r="O3" s="127"/>
      <c r="P3" s="127"/>
      <c r="Q3" s="127"/>
      <c r="R3" s="127"/>
      <c r="S3" s="127"/>
      <c r="T3" s="129"/>
      <c r="U3" s="22"/>
      <c r="V3" s="125"/>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row>
    <row r="4" spans="1:58" s="23" customFormat="1" ht="18" x14ac:dyDescent="0.5">
      <c r="A4" s="24" t="s">
        <v>4</v>
      </c>
      <c r="B4" s="17"/>
      <c r="C4" s="17"/>
      <c r="D4" s="17"/>
      <c r="E4" s="17"/>
      <c r="F4" s="18"/>
      <c r="G4" s="17"/>
      <c r="H4" s="17"/>
      <c r="I4" s="17"/>
      <c r="J4" s="17"/>
      <c r="K4" s="17"/>
      <c r="L4" s="17"/>
      <c r="M4" s="17"/>
      <c r="N4" s="17"/>
      <c r="O4" s="17"/>
      <c r="P4" s="17"/>
      <c r="Q4" s="17"/>
      <c r="R4" s="17"/>
      <c r="S4" s="17"/>
      <c r="T4" s="19"/>
      <c r="U4" s="130"/>
      <c r="V4" s="131"/>
      <c r="W4" s="130"/>
      <c r="X4" s="130"/>
      <c r="Y4" s="130"/>
      <c r="Z4" s="130"/>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row>
    <row r="5" spans="1:58" s="23" customFormat="1" ht="18" x14ac:dyDescent="0.5">
      <c r="A5" s="28" t="s">
        <v>5</v>
      </c>
      <c r="B5" s="29"/>
      <c r="C5" s="29"/>
      <c r="D5" s="29"/>
      <c r="E5" s="29"/>
      <c r="F5" s="29"/>
      <c r="G5" s="29"/>
      <c r="H5" s="29"/>
      <c r="I5" s="29"/>
      <c r="J5" s="29"/>
      <c r="K5" s="29"/>
      <c r="L5" s="29"/>
      <c r="M5" s="29"/>
      <c r="N5" s="29"/>
      <c r="O5" s="29"/>
      <c r="P5" s="29"/>
      <c r="Q5" s="29"/>
      <c r="R5" s="29"/>
      <c r="S5" s="29"/>
      <c r="T5" s="30"/>
      <c r="U5" s="130"/>
      <c r="V5" s="132" t="s">
        <v>10</v>
      </c>
      <c r="W5" s="132">
        <v>1</v>
      </c>
      <c r="X5" s="132">
        <v>2</v>
      </c>
      <c r="Y5" s="130"/>
      <c r="Z5" s="130"/>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row>
    <row r="6" spans="1:58" s="136" customFormat="1" ht="13" x14ac:dyDescent="0.3">
      <c r="A6" s="31"/>
      <c r="B6" s="32" t="s">
        <v>8</v>
      </c>
      <c r="C6" s="32"/>
      <c r="D6" s="32"/>
      <c r="E6" s="133"/>
      <c r="F6" s="33"/>
      <c r="G6" s="32"/>
      <c r="H6" s="32"/>
      <c r="I6" s="32"/>
      <c r="J6" s="32"/>
      <c r="K6" s="32"/>
      <c r="L6" s="32"/>
      <c r="M6" s="32"/>
      <c r="N6" s="34"/>
      <c r="O6" s="34"/>
      <c r="P6" s="34"/>
      <c r="Q6" s="32"/>
      <c r="R6" s="32"/>
      <c r="S6" s="32"/>
      <c r="T6" s="134"/>
      <c r="U6" s="135"/>
      <c r="V6" s="135"/>
      <c r="W6" s="135"/>
      <c r="X6" s="135"/>
      <c r="Y6" s="135"/>
      <c r="Z6" s="135"/>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row>
    <row r="7" spans="1:58" s="136" customFormat="1" ht="13" x14ac:dyDescent="0.3">
      <c r="A7" s="31"/>
      <c r="B7" s="32" t="s">
        <v>11</v>
      </c>
      <c r="C7" s="32"/>
      <c r="D7" s="32"/>
      <c r="E7" s="34" t="s">
        <v>12</v>
      </c>
      <c r="F7" s="32"/>
      <c r="G7" s="32"/>
      <c r="H7" s="32"/>
      <c r="I7" s="32"/>
      <c r="J7" s="32"/>
      <c r="K7" s="32"/>
      <c r="L7" s="32"/>
      <c r="M7" s="32"/>
      <c r="N7" s="34"/>
      <c r="O7" s="34"/>
      <c r="P7" s="34"/>
      <c r="Q7" s="32"/>
      <c r="R7" s="32"/>
      <c r="S7" s="32"/>
      <c r="T7" s="134"/>
      <c r="U7" s="135"/>
      <c r="V7" s="135">
        <v>0</v>
      </c>
      <c r="W7" s="135">
        <v>0</v>
      </c>
      <c r="X7" s="135">
        <v>0</v>
      </c>
      <c r="Y7" s="135"/>
      <c r="Z7" s="135"/>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row>
    <row r="8" spans="1:58" s="50" customFormat="1" x14ac:dyDescent="0.45">
      <c r="A8" s="40"/>
      <c r="B8" s="35" t="s">
        <v>13</v>
      </c>
      <c r="C8" s="35"/>
      <c r="D8" s="35"/>
      <c r="E8" s="137">
        <v>0</v>
      </c>
      <c r="F8" s="35"/>
      <c r="G8" s="43"/>
      <c r="H8" s="43"/>
      <c r="I8" s="43"/>
      <c r="J8" s="43"/>
      <c r="K8" s="43"/>
      <c r="L8" s="43"/>
      <c r="M8" s="43"/>
      <c r="N8" s="43"/>
      <c r="O8" s="43"/>
      <c r="P8" s="43"/>
      <c r="Q8" s="43"/>
      <c r="R8" s="43"/>
      <c r="S8" s="43"/>
      <c r="T8" s="138"/>
      <c r="U8" s="139" t="s">
        <v>42</v>
      </c>
      <c r="V8" s="140">
        <v>6396</v>
      </c>
      <c r="W8" s="141">
        <v>0</v>
      </c>
      <c r="X8" s="141">
        <v>0</v>
      </c>
      <c r="Y8" s="140"/>
      <c r="Z8" s="140"/>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row>
    <row r="9" spans="1:58" s="50" customFormat="1" x14ac:dyDescent="0.45">
      <c r="A9" s="40"/>
      <c r="B9" s="35" t="s">
        <v>14</v>
      </c>
      <c r="C9" s="35"/>
      <c r="D9" s="35"/>
      <c r="E9" s="137">
        <v>0.15</v>
      </c>
      <c r="F9" s="133"/>
      <c r="G9" s="45"/>
      <c r="H9" s="46"/>
      <c r="I9" s="47"/>
      <c r="J9" s="43"/>
      <c r="K9" s="47"/>
      <c r="L9" s="43"/>
      <c r="M9" s="43"/>
      <c r="N9" s="43"/>
      <c r="O9" s="43"/>
      <c r="P9" s="43"/>
      <c r="Q9" s="142"/>
      <c r="R9" s="43"/>
      <c r="S9" s="45"/>
      <c r="T9" s="143"/>
      <c r="U9" s="139" t="s">
        <v>18</v>
      </c>
      <c r="V9" s="140">
        <v>5000</v>
      </c>
      <c r="W9" s="141">
        <v>0</v>
      </c>
      <c r="X9" s="141">
        <v>0</v>
      </c>
      <c r="Y9" s="140"/>
      <c r="Z9" s="140"/>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row>
    <row r="10" spans="1:58" s="136" customFormat="1" ht="13" x14ac:dyDescent="0.3">
      <c r="A10" s="31"/>
      <c r="B10" s="32" t="s">
        <v>15</v>
      </c>
      <c r="C10" s="32"/>
      <c r="D10" s="32"/>
      <c r="E10" s="32" t="s">
        <v>16</v>
      </c>
      <c r="F10" s="34"/>
      <c r="G10" s="51"/>
      <c r="H10" s="34"/>
      <c r="I10" s="32"/>
      <c r="J10" s="52"/>
      <c r="K10" s="53"/>
      <c r="L10" s="52"/>
      <c r="M10" s="32"/>
      <c r="N10" s="32"/>
      <c r="O10" s="32"/>
      <c r="P10" s="32"/>
      <c r="Q10" s="144"/>
      <c r="R10" s="32"/>
      <c r="S10" s="51"/>
      <c r="T10" s="145"/>
      <c r="U10" s="146" t="s">
        <v>43</v>
      </c>
      <c r="V10" s="135">
        <v>50270</v>
      </c>
      <c r="W10" s="147">
        <v>0</v>
      </c>
      <c r="X10" s="147">
        <v>0.15</v>
      </c>
      <c r="Y10" s="135"/>
      <c r="Z10" s="135"/>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row>
    <row r="11" spans="1:58" s="50" customFormat="1" ht="16" thickBot="1" x14ac:dyDescent="0.5">
      <c r="A11" s="58"/>
      <c r="B11" s="59" t="s">
        <v>17</v>
      </c>
      <c r="C11" s="59"/>
      <c r="D11" s="59"/>
      <c r="E11" s="148">
        <v>0.24099999999999999</v>
      </c>
      <c r="F11" s="61"/>
      <c r="G11" s="62"/>
      <c r="H11" s="61"/>
      <c r="I11" s="63"/>
      <c r="J11" s="64"/>
      <c r="K11" s="65"/>
      <c r="L11" s="64"/>
      <c r="M11" s="63"/>
      <c r="N11" s="63"/>
      <c r="O11" s="65"/>
      <c r="P11" s="63"/>
      <c r="Q11" s="149"/>
      <c r="R11" s="63"/>
      <c r="S11" s="62"/>
      <c r="T11" s="150"/>
      <c r="U11" s="140"/>
      <c r="V11" s="140"/>
      <c r="W11" s="141"/>
      <c r="X11" s="141"/>
      <c r="Y11" s="140"/>
      <c r="Z11" s="140"/>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row>
    <row r="12" spans="1:58" s="50" customFormat="1" ht="16" thickBot="1" x14ac:dyDescent="0.5">
      <c r="A12" s="151"/>
      <c r="B12" s="152"/>
      <c r="C12" s="152"/>
      <c r="D12" s="153"/>
      <c r="E12" s="152"/>
      <c r="F12" s="153"/>
      <c r="G12" s="152"/>
      <c r="H12" s="153"/>
      <c r="I12" s="152"/>
      <c r="J12" s="153"/>
      <c r="K12" s="152"/>
      <c r="L12" s="153"/>
      <c r="M12" s="153"/>
      <c r="N12" s="153"/>
      <c r="O12" s="153"/>
      <c r="P12" s="153"/>
      <c r="Q12" s="153"/>
      <c r="R12" s="153"/>
      <c r="S12" s="153"/>
      <c r="T12" s="153"/>
      <c r="U12" s="140"/>
      <c r="V12" s="154" t="s">
        <v>44</v>
      </c>
      <c r="W12" s="141">
        <v>0.24099999999999999</v>
      </c>
      <c r="X12" s="140"/>
      <c r="Y12" s="140"/>
      <c r="Z12" s="140"/>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row>
    <row r="13" spans="1:58" ht="16" thickTop="1" x14ac:dyDescent="0.35">
      <c r="A13" s="155"/>
      <c r="B13" s="156"/>
      <c r="C13" s="156"/>
      <c r="D13" s="157"/>
      <c r="E13" s="158" t="s">
        <v>20</v>
      </c>
      <c r="F13" s="159"/>
      <c r="G13" s="158"/>
      <c r="H13" s="159"/>
      <c r="I13" s="158"/>
      <c r="J13" s="159"/>
      <c r="K13" s="158"/>
      <c r="L13" s="157"/>
      <c r="M13" s="160" t="s">
        <v>21</v>
      </c>
      <c r="N13" s="161"/>
      <c r="O13" s="161"/>
      <c r="P13" s="161"/>
      <c r="Q13" s="161"/>
      <c r="R13" s="161"/>
      <c r="S13" s="161"/>
      <c r="T13" s="162"/>
      <c r="U13" s="39"/>
      <c r="V13" s="39"/>
      <c r="W13" s="163"/>
      <c r="X13" s="39"/>
      <c r="Y13" s="39"/>
      <c r="Z13" s="39"/>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row>
    <row r="14" spans="1:58" x14ac:dyDescent="0.35">
      <c r="A14" s="941" t="s">
        <v>22</v>
      </c>
      <c r="B14" s="942"/>
      <c r="C14" s="165" t="s">
        <v>23</v>
      </c>
      <c r="D14" s="165"/>
      <c r="E14" s="166" t="s">
        <v>24</v>
      </c>
      <c r="F14" s="165"/>
      <c r="G14" s="166" t="s">
        <v>25</v>
      </c>
      <c r="H14" s="165"/>
      <c r="I14" s="166" t="s">
        <v>26</v>
      </c>
      <c r="J14" s="165"/>
      <c r="K14" s="166" t="s">
        <v>27</v>
      </c>
      <c r="L14" s="164"/>
      <c r="M14" s="167" t="s">
        <v>24</v>
      </c>
      <c r="N14" s="165"/>
      <c r="O14" s="165"/>
      <c r="P14" s="165"/>
      <c r="Q14" s="166" t="s">
        <v>25</v>
      </c>
      <c r="R14" s="165"/>
      <c r="S14" s="168" t="s">
        <v>27</v>
      </c>
      <c r="T14" s="169"/>
      <c r="U14" s="39"/>
      <c r="V14" s="39"/>
      <c r="W14" s="163"/>
      <c r="X14" s="39"/>
      <c r="Y14" s="39"/>
      <c r="Z14" s="39"/>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row>
    <row r="15" spans="1:58" ht="16" thickBot="1" x14ac:dyDescent="0.4">
      <c r="A15" s="170"/>
      <c r="B15" s="171"/>
      <c r="C15" s="171"/>
      <c r="D15" s="171"/>
      <c r="E15" s="171"/>
      <c r="F15" s="171"/>
      <c r="G15" s="171"/>
      <c r="H15" s="171"/>
      <c r="I15" s="171"/>
      <c r="J15" s="171"/>
      <c r="K15" s="171"/>
      <c r="L15" s="171"/>
      <c r="M15" s="172"/>
      <c r="N15" s="171"/>
      <c r="O15" s="171"/>
      <c r="P15" s="171"/>
      <c r="Q15" s="171"/>
      <c r="R15" s="171"/>
      <c r="S15" s="171"/>
      <c r="T15" s="173"/>
      <c r="U15" s="39"/>
      <c r="V15" s="39"/>
      <c r="W15" s="39"/>
      <c r="X15" s="39"/>
      <c r="Y15" s="39"/>
      <c r="Z15" s="39"/>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row>
    <row r="16" spans="1:58" x14ac:dyDescent="0.35">
      <c r="A16" s="174"/>
      <c r="B16" s="95"/>
      <c r="C16" s="94"/>
      <c r="D16" s="95"/>
      <c r="E16" s="96"/>
      <c r="F16" s="96"/>
      <c r="G16" s="96"/>
      <c r="H16" s="96"/>
      <c r="I16" s="96"/>
      <c r="J16" s="96"/>
      <c r="K16" s="96"/>
      <c r="L16" s="96"/>
      <c r="M16" s="97"/>
      <c r="N16" s="96"/>
      <c r="O16" s="96"/>
      <c r="P16" s="96"/>
      <c r="Q16" s="96"/>
      <c r="R16" s="96"/>
      <c r="S16" s="96"/>
      <c r="T16" s="175"/>
      <c r="U16" s="176"/>
      <c r="V16" s="39"/>
      <c r="W16" s="39"/>
      <c r="X16" s="39"/>
      <c r="Y16" s="39"/>
      <c r="Z16" s="39"/>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row>
    <row r="17" spans="1:58" x14ac:dyDescent="0.35">
      <c r="A17" s="177" t="s">
        <v>45</v>
      </c>
      <c r="B17" s="95"/>
      <c r="C17" s="178" t="s">
        <v>46</v>
      </c>
      <c r="D17" s="179"/>
      <c r="E17" s="180"/>
      <c r="F17" s="96"/>
      <c r="G17" s="96"/>
      <c r="H17" s="96"/>
      <c r="I17" s="96"/>
      <c r="J17" s="96"/>
      <c r="K17" s="96"/>
      <c r="L17" s="96"/>
      <c r="M17" s="97"/>
      <c r="N17" s="96"/>
      <c r="O17" s="96"/>
      <c r="P17" s="96"/>
      <c r="Q17" s="96"/>
      <c r="R17" s="96"/>
      <c r="S17" s="96"/>
      <c r="T17" s="175"/>
      <c r="U17" s="176"/>
      <c r="V17" s="181"/>
      <c r="W17" s="181"/>
      <c r="X17" s="39"/>
      <c r="Y17" s="39"/>
      <c r="Z17" s="181"/>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row>
    <row r="18" spans="1:58" x14ac:dyDescent="0.35">
      <c r="A18" s="177" t="s">
        <v>45</v>
      </c>
      <c r="B18" s="94"/>
      <c r="C18" s="178" t="s">
        <v>47</v>
      </c>
      <c r="D18" s="179"/>
      <c r="E18" s="182">
        <v>24224</v>
      </c>
      <c r="F18" s="96"/>
      <c r="G18" s="96">
        <f t="shared" ref="G18:G64" si="0">IF($M18&gt;$V$9,($M18-$V$9)*$X$10,"ERROR")</f>
        <v>2883.6</v>
      </c>
      <c r="H18" s="96"/>
      <c r="I18" s="96">
        <f t="shared" ref="I18:I64" si="1">$E18*$W$12</f>
        <v>5837.9839999999995</v>
      </c>
      <c r="J18" s="96"/>
      <c r="K18" s="96">
        <f t="shared" ref="K18:K64" si="2">E18+ROUND(G18,0)+ROUND(I18,0)</f>
        <v>32946</v>
      </c>
      <c r="L18" s="96"/>
      <c r="M18" s="97">
        <f t="shared" ref="M18:M64" si="3">E18</f>
        <v>24224</v>
      </c>
      <c r="N18" s="96"/>
      <c r="O18" s="96"/>
      <c r="P18" s="96"/>
      <c r="Q18" s="96">
        <f t="shared" ref="Q18:Q64" si="4">IF($M18&gt;$V$9,($M18-$V$9)*$X$10,"ERROR")</f>
        <v>2883.6</v>
      </c>
      <c r="R18" s="96"/>
      <c r="S18" s="96">
        <f t="shared" ref="S18:S64" si="5">SUM(M18:Q18)</f>
        <v>27107.599999999999</v>
      </c>
      <c r="T18" s="175"/>
      <c r="U18" s="181"/>
      <c r="V18" s="181"/>
      <c r="W18" s="39"/>
      <c r="X18" s="39"/>
      <c r="Y18" s="39"/>
      <c r="Z18" s="39"/>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row>
    <row r="19" spans="1:58" x14ac:dyDescent="0.35">
      <c r="A19" s="177" t="s">
        <v>45</v>
      </c>
      <c r="B19" s="101" t="s">
        <v>48</v>
      </c>
      <c r="C19" s="183" t="s">
        <v>49</v>
      </c>
      <c r="D19" s="179"/>
      <c r="E19" s="182">
        <v>24413</v>
      </c>
      <c r="F19" s="96"/>
      <c r="G19" s="96">
        <f t="shared" si="0"/>
        <v>2911.95</v>
      </c>
      <c r="H19" s="96"/>
      <c r="I19" s="96">
        <f t="shared" si="1"/>
        <v>5883.5329999999994</v>
      </c>
      <c r="J19" s="96"/>
      <c r="K19" s="96">
        <f t="shared" si="2"/>
        <v>33209</v>
      </c>
      <c r="L19" s="96"/>
      <c r="M19" s="97">
        <f t="shared" si="3"/>
        <v>24413</v>
      </c>
      <c r="N19" s="96"/>
      <c r="O19" s="96"/>
      <c r="P19" s="96"/>
      <c r="Q19" s="96">
        <f t="shared" si="4"/>
        <v>2911.95</v>
      </c>
      <c r="R19" s="96"/>
      <c r="S19" s="96">
        <f t="shared" si="5"/>
        <v>27324.95</v>
      </c>
      <c r="T19" s="175"/>
      <c r="U19" s="181"/>
      <c r="V19" s="181"/>
      <c r="W19" s="39"/>
      <c r="X19" s="39"/>
      <c r="Y19" s="39"/>
      <c r="Z19" s="39"/>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row>
    <row r="20" spans="1:58" x14ac:dyDescent="0.35">
      <c r="A20" s="184"/>
      <c r="B20" s="101" t="s">
        <v>48</v>
      </c>
      <c r="C20" s="102" t="s">
        <v>50</v>
      </c>
      <c r="D20" s="95"/>
      <c r="E20" s="182">
        <v>24560</v>
      </c>
      <c r="F20" s="96"/>
      <c r="G20" s="96">
        <f t="shared" si="0"/>
        <v>2934</v>
      </c>
      <c r="H20" s="96"/>
      <c r="I20" s="96">
        <f t="shared" si="1"/>
        <v>5918.96</v>
      </c>
      <c r="J20" s="96"/>
      <c r="K20" s="96">
        <f t="shared" si="2"/>
        <v>33413</v>
      </c>
      <c r="L20" s="96"/>
      <c r="M20" s="97">
        <f t="shared" si="3"/>
        <v>24560</v>
      </c>
      <c r="N20" s="96"/>
      <c r="O20" s="96"/>
      <c r="P20" s="96"/>
      <c r="Q20" s="96">
        <f t="shared" si="4"/>
        <v>2934</v>
      </c>
      <c r="R20" s="96"/>
      <c r="S20" s="96">
        <f t="shared" si="5"/>
        <v>27494</v>
      </c>
      <c r="T20" s="175"/>
      <c r="U20" s="86"/>
      <c r="V20" s="86"/>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row>
    <row r="21" spans="1:58" x14ac:dyDescent="0.35">
      <c r="A21" s="184"/>
      <c r="B21" s="94" t="s">
        <v>48</v>
      </c>
      <c r="C21" s="102" t="s">
        <v>51</v>
      </c>
      <c r="D21" s="95"/>
      <c r="E21" s="182">
        <v>24657</v>
      </c>
      <c r="F21" s="96"/>
      <c r="G21" s="96">
        <f t="shared" si="0"/>
        <v>2948.5499999999997</v>
      </c>
      <c r="H21" s="96"/>
      <c r="I21" s="96">
        <f t="shared" si="1"/>
        <v>5942.3369999999995</v>
      </c>
      <c r="J21" s="96"/>
      <c r="K21" s="96">
        <f t="shared" si="2"/>
        <v>33548</v>
      </c>
      <c r="L21" s="96"/>
      <c r="M21" s="97">
        <f t="shared" si="3"/>
        <v>24657</v>
      </c>
      <c r="N21" s="96"/>
      <c r="O21" s="96"/>
      <c r="P21" s="96"/>
      <c r="Q21" s="96">
        <f t="shared" si="4"/>
        <v>2948.5499999999997</v>
      </c>
      <c r="R21" s="96"/>
      <c r="S21" s="96">
        <f t="shared" si="5"/>
        <v>27605.55</v>
      </c>
      <c r="T21" s="175"/>
      <c r="U21" s="86"/>
      <c r="V21" s="86"/>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row>
    <row r="22" spans="1:58" x14ac:dyDescent="0.35">
      <c r="A22" s="184" t="s">
        <v>52</v>
      </c>
      <c r="B22" s="101" t="s">
        <v>48</v>
      </c>
      <c r="C22" s="183" t="s">
        <v>53</v>
      </c>
      <c r="D22" s="179"/>
      <c r="E22" s="182">
        <v>24796</v>
      </c>
      <c r="F22" s="96"/>
      <c r="G22" s="96">
        <f t="shared" si="0"/>
        <v>2969.4</v>
      </c>
      <c r="H22" s="96"/>
      <c r="I22" s="96">
        <f t="shared" si="1"/>
        <v>5975.8360000000002</v>
      </c>
      <c r="J22" s="96"/>
      <c r="K22" s="96">
        <f t="shared" si="2"/>
        <v>33741</v>
      </c>
      <c r="L22" s="96"/>
      <c r="M22" s="97">
        <f t="shared" si="3"/>
        <v>24796</v>
      </c>
      <c r="N22" s="96"/>
      <c r="O22" s="96"/>
      <c r="P22" s="96"/>
      <c r="Q22" s="96">
        <f t="shared" si="4"/>
        <v>2969.4</v>
      </c>
      <c r="R22" s="96"/>
      <c r="S22" s="96">
        <f t="shared" si="5"/>
        <v>27765.4</v>
      </c>
      <c r="T22" s="175"/>
      <c r="U22" s="86"/>
      <c r="V22" s="86"/>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row>
    <row r="23" spans="1:58" x14ac:dyDescent="0.35">
      <c r="A23" s="184" t="s">
        <v>52</v>
      </c>
      <c r="B23" s="101"/>
      <c r="C23" s="102" t="s">
        <v>54</v>
      </c>
      <c r="D23" s="95"/>
      <c r="E23" s="182">
        <v>25178</v>
      </c>
      <c r="F23" s="96"/>
      <c r="G23" s="96">
        <f t="shared" si="0"/>
        <v>3026.7</v>
      </c>
      <c r="H23" s="96"/>
      <c r="I23" s="96">
        <f t="shared" si="1"/>
        <v>6067.8980000000001</v>
      </c>
      <c r="J23" s="96"/>
      <c r="K23" s="96">
        <f t="shared" si="2"/>
        <v>34273</v>
      </c>
      <c r="L23" s="96"/>
      <c r="M23" s="97">
        <f t="shared" si="3"/>
        <v>25178</v>
      </c>
      <c r="N23" s="96"/>
      <c r="O23" s="96"/>
      <c r="P23" s="96"/>
      <c r="Q23" s="96">
        <f t="shared" si="4"/>
        <v>3026.7</v>
      </c>
      <c r="R23" s="96"/>
      <c r="S23" s="96">
        <f t="shared" si="5"/>
        <v>28204.7</v>
      </c>
      <c r="T23" s="175"/>
      <c r="U23" s="86"/>
      <c r="V23" s="86"/>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row>
    <row r="24" spans="1:58" x14ac:dyDescent="0.35">
      <c r="A24" s="184" t="s">
        <v>52</v>
      </c>
      <c r="B24" s="94"/>
      <c r="C24" s="102" t="s">
        <v>55</v>
      </c>
      <c r="D24" s="95"/>
      <c r="E24" s="182">
        <v>25605</v>
      </c>
      <c r="F24" s="96"/>
      <c r="G24" s="96">
        <f t="shared" si="0"/>
        <v>3090.75</v>
      </c>
      <c r="H24" s="96"/>
      <c r="I24" s="96">
        <f t="shared" si="1"/>
        <v>6170.8049999999994</v>
      </c>
      <c r="J24" s="96"/>
      <c r="K24" s="96">
        <f t="shared" si="2"/>
        <v>34867</v>
      </c>
      <c r="L24" s="96"/>
      <c r="M24" s="97">
        <f t="shared" si="3"/>
        <v>25605</v>
      </c>
      <c r="N24" s="96"/>
      <c r="O24" s="96"/>
      <c r="P24" s="96"/>
      <c r="Q24" s="96">
        <f t="shared" si="4"/>
        <v>3090.75</v>
      </c>
      <c r="R24" s="96"/>
      <c r="S24" s="96">
        <f t="shared" si="5"/>
        <v>28695.75</v>
      </c>
      <c r="T24" s="175"/>
      <c r="U24" s="86"/>
      <c r="V24" s="86"/>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row>
    <row r="25" spans="1:58" x14ac:dyDescent="0.35">
      <c r="A25" s="184" t="s">
        <v>52</v>
      </c>
      <c r="B25" s="101" t="s">
        <v>56</v>
      </c>
      <c r="C25" s="183" t="s">
        <v>57</v>
      </c>
      <c r="D25" s="179"/>
      <c r="E25" s="182">
        <v>25989</v>
      </c>
      <c r="F25" s="96"/>
      <c r="G25" s="96">
        <f t="shared" si="0"/>
        <v>3148.35</v>
      </c>
      <c r="H25" s="96"/>
      <c r="I25" s="96">
        <f t="shared" si="1"/>
        <v>6263.3490000000002</v>
      </c>
      <c r="J25" s="96"/>
      <c r="K25" s="96">
        <f t="shared" si="2"/>
        <v>35400</v>
      </c>
      <c r="L25" s="96"/>
      <c r="M25" s="97">
        <f t="shared" si="3"/>
        <v>25989</v>
      </c>
      <c r="N25" s="96"/>
      <c r="O25" s="96"/>
      <c r="P25" s="96"/>
      <c r="Q25" s="96">
        <f t="shared" si="4"/>
        <v>3148.35</v>
      </c>
      <c r="R25" s="96"/>
      <c r="S25" s="96">
        <f t="shared" si="5"/>
        <v>29137.35</v>
      </c>
      <c r="T25" s="175"/>
      <c r="U25" s="86"/>
      <c r="V25" s="86"/>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row>
    <row r="26" spans="1:58" x14ac:dyDescent="0.35">
      <c r="A26" s="184"/>
      <c r="B26" s="101" t="s">
        <v>56</v>
      </c>
      <c r="C26" s="101">
        <v>10</v>
      </c>
      <c r="D26" s="95"/>
      <c r="E26" s="182">
        <v>26028</v>
      </c>
      <c r="F26" s="96"/>
      <c r="G26" s="96">
        <f t="shared" si="0"/>
        <v>3154.2</v>
      </c>
      <c r="H26" s="96"/>
      <c r="I26" s="96">
        <f t="shared" si="1"/>
        <v>6272.7479999999996</v>
      </c>
      <c r="J26" s="96"/>
      <c r="K26" s="96">
        <f t="shared" si="2"/>
        <v>35455</v>
      </c>
      <c r="L26" s="96"/>
      <c r="M26" s="97">
        <f t="shared" si="3"/>
        <v>26028</v>
      </c>
      <c r="N26" s="96"/>
      <c r="O26" s="96"/>
      <c r="P26" s="96"/>
      <c r="Q26" s="96">
        <f t="shared" si="4"/>
        <v>3154.2</v>
      </c>
      <c r="R26" s="96"/>
      <c r="S26" s="96">
        <f t="shared" si="5"/>
        <v>29182.2</v>
      </c>
      <c r="T26" s="175"/>
      <c r="U26" s="86"/>
      <c r="V26" s="86"/>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row>
    <row r="27" spans="1:58" x14ac:dyDescent="0.35">
      <c r="A27" s="184"/>
      <c r="B27" s="94" t="s">
        <v>56</v>
      </c>
      <c r="C27" s="101">
        <v>11</v>
      </c>
      <c r="D27" s="95"/>
      <c r="E27" s="182">
        <v>26738</v>
      </c>
      <c r="F27" s="96"/>
      <c r="G27" s="96">
        <f t="shared" si="0"/>
        <v>3260.7</v>
      </c>
      <c r="H27" s="96"/>
      <c r="I27" s="96">
        <f t="shared" si="1"/>
        <v>6443.8580000000002</v>
      </c>
      <c r="J27" s="96"/>
      <c r="K27" s="96">
        <f t="shared" si="2"/>
        <v>36443</v>
      </c>
      <c r="L27" s="96"/>
      <c r="M27" s="97">
        <f t="shared" si="3"/>
        <v>26738</v>
      </c>
      <c r="N27" s="96"/>
      <c r="O27" s="96"/>
      <c r="P27" s="96"/>
      <c r="Q27" s="96">
        <f t="shared" si="4"/>
        <v>3260.7</v>
      </c>
      <c r="R27" s="96"/>
      <c r="S27" s="96">
        <f t="shared" si="5"/>
        <v>29998.7</v>
      </c>
      <c r="T27" s="175"/>
      <c r="U27" s="86"/>
      <c r="V27" s="86"/>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row>
    <row r="28" spans="1:58" x14ac:dyDescent="0.35">
      <c r="A28" s="184" t="s">
        <v>58</v>
      </c>
      <c r="B28" s="101" t="s">
        <v>56</v>
      </c>
      <c r="C28" s="185">
        <v>12</v>
      </c>
      <c r="D28" s="179"/>
      <c r="E28" s="182">
        <v>27254</v>
      </c>
      <c r="F28" s="96"/>
      <c r="G28" s="96">
        <f t="shared" si="0"/>
        <v>3338.1</v>
      </c>
      <c r="H28" s="96"/>
      <c r="I28" s="96">
        <f t="shared" si="1"/>
        <v>6568.2139999999999</v>
      </c>
      <c r="J28" s="96"/>
      <c r="K28" s="96">
        <f t="shared" si="2"/>
        <v>37160</v>
      </c>
      <c r="L28" s="96"/>
      <c r="M28" s="97">
        <f t="shared" si="3"/>
        <v>27254</v>
      </c>
      <c r="N28" s="96"/>
      <c r="O28" s="96"/>
      <c r="P28" s="96"/>
      <c r="Q28" s="96">
        <f t="shared" si="4"/>
        <v>3338.1</v>
      </c>
      <c r="R28" s="96"/>
      <c r="S28" s="96">
        <f t="shared" si="5"/>
        <v>30592.1</v>
      </c>
      <c r="T28" s="175"/>
      <c r="U28" s="86"/>
      <c r="V28" s="86"/>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row>
    <row r="29" spans="1:58" x14ac:dyDescent="0.35">
      <c r="A29" s="184" t="s">
        <v>58</v>
      </c>
      <c r="B29" s="101"/>
      <c r="C29" s="101">
        <v>13</v>
      </c>
      <c r="D29" s="95"/>
      <c r="E29" s="182">
        <v>28123</v>
      </c>
      <c r="F29" s="96"/>
      <c r="G29" s="96">
        <f t="shared" si="0"/>
        <v>3468.45</v>
      </c>
      <c r="H29" s="96"/>
      <c r="I29" s="96">
        <f t="shared" si="1"/>
        <v>6777.643</v>
      </c>
      <c r="J29" s="96"/>
      <c r="K29" s="96">
        <f t="shared" si="2"/>
        <v>38369</v>
      </c>
      <c r="L29" s="96"/>
      <c r="M29" s="97">
        <f t="shared" si="3"/>
        <v>28123</v>
      </c>
      <c r="N29" s="96"/>
      <c r="O29" s="96"/>
      <c r="P29" s="96"/>
      <c r="Q29" s="96">
        <f t="shared" si="4"/>
        <v>3468.45</v>
      </c>
      <c r="R29" s="96"/>
      <c r="S29" s="96">
        <f t="shared" si="5"/>
        <v>31591.45</v>
      </c>
      <c r="T29" s="175"/>
      <c r="U29" s="86"/>
      <c r="V29" s="86"/>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row>
    <row r="30" spans="1:58" x14ac:dyDescent="0.35">
      <c r="A30" s="184" t="s">
        <v>58</v>
      </c>
      <c r="B30" s="94"/>
      <c r="C30" s="101">
        <v>14</v>
      </c>
      <c r="D30" s="95"/>
      <c r="E30" s="182">
        <v>29076</v>
      </c>
      <c r="F30" s="96"/>
      <c r="G30" s="96">
        <f t="shared" si="0"/>
        <v>3611.4</v>
      </c>
      <c r="H30" s="96"/>
      <c r="I30" s="96">
        <f t="shared" si="1"/>
        <v>7007.3159999999998</v>
      </c>
      <c r="J30" s="96"/>
      <c r="K30" s="96">
        <f t="shared" si="2"/>
        <v>39694</v>
      </c>
      <c r="L30" s="96"/>
      <c r="M30" s="97">
        <f t="shared" si="3"/>
        <v>29076</v>
      </c>
      <c r="N30" s="96"/>
      <c r="O30" s="96"/>
      <c r="P30" s="96"/>
      <c r="Q30" s="96">
        <f t="shared" si="4"/>
        <v>3611.4</v>
      </c>
      <c r="R30" s="96"/>
      <c r="S30" s="96">
        <f t="shared" si="5"/>
        <v>32687.4</v>
      </c>
      <c r="T30" s="175"/>
      <c r="U30" s="86"/>
      <c r="V30" s="86"/>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row>
    <row r="31" spans="1:58" x14ac:dyDescent="0.35">
      <c r="A31" s="184" t="s">
        <v>58</v>
      </c>
      <c r="B31" s="101" t="s">
        <v>59</v>
      </c>
      <c r="C31" s="185">
        <v>15</v>
      </c>
      <c r="D31" s="179"/>
      <c r="E31" s="182">
        <v>30024</v>
      </c>
      <c r="F31" s="96"/>
      <c r="G31" s="96">
        <f t="shared" si="0"/>
        <v>3753.6</v>
      </c>
      <c r="H31" s="96"/>
      <c r="I31" s="96">
        <f t="shared" si="1"/>
        <v>7235.7839999999997</v>
      </c>
      <c r="J31" s="96"/>
      <c r="K31" s="96">
        <f t="shared" si="2"/>
        <v>41014</v>
      </c>
      <c r="L31" s="96"/>
      <c r="M31" s="97">
        <f t="shared" si="3"/>
        <v>30024</v>
      </c>
      <c r="N31" s="96"/>
      <c r="O31" s="96"/>
      <c r="P31" s="96"/>
      <c r="Q31" s="96">
        <f t="shared" si="4"/>
        <v>3753.6</v>
      </c>
      <c r="R31" s="96"/>
      <c r="S31" s="96">
        <f t="shared" si="5"/>
        <v>33777.599999999999</v>
      </c>
      <c r="T31" s="175"/>
      <c r="U31" s="186"/>
      <c r="V31" s="186"/>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row>
    <row r="32" spans="1:58" x14ac:dyDescent="0.35">
      <c r="A32" s="184"/>
      <c r="B32" s="101" t="s">
        <v>59</v>
      </c>
      <c r="C32" s="101">
        <v>16</v>
      </c>
      <c r="D32" s="95"/>
      <c r="E32" s="182">
        <v>30856</v>
      </c>
      <c r="F32" s="96"/>
      <c r="G32" s="96">
        <f t="shared" si="0"/>
        <v>3878.3999999999996</v>
      </c>
      <c r="H32" s="96"/>
      <c r="I32" s="96">
        <f t="shared" si="1"/>
        <v>7436.2959999999994</v>
      </c>
      <c r="J32" s="96"/>
      <c r="K32" s="96">
        <f t="shared" si="2"/>
        <v>42170</v>
      </c>
      <c r="L32" s="96"/>
      <c r="M32" s="97">
        <f t="shared" si="3"/>
        <v>30856</v>
      </c>
      <c r="N32" s="96"/>
      <c r="O32" s="96"/>
      <c r="P32" s="96"/>
      <c r="Q32" s="96">
        <f t="shared" si="4"/>
        <v>3878.3999999999996</v>
      </c>
      <c r="R32" s="96"/>
      <c r="S32" s="96">
        <f t="shared" si="5"/>
        <v>34734.400000000001</v>
      </c>
      <c r="T32" s="175"/>
      <c r="U32" s="86"/>
      <c r="V32" s="86"/>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row>
    <row r="33" spans="1:58" x14ac:dyDescent="0.35">
      <c r="A33" s="184"/>
      <c r="B33" s="94" t="s">
        <v>59</v>
      </c>
      <c r="C33" s="101">
        <v>17</v>
      </c>
      <c r="D33" s="95"/>
      <c r="E33" s="182">
        <v>31685</v>
      </c>
      <c r="F33" s="96"/>
      <c r="G33" s="96">
        <f t="shared" si="0"/>
        <v>4002.75</v>
      </c>
      <c r="H33" s="96"/>
      <c r="I33" s="96">
        <f t="shared" si="1"/>
        <v>7636.085</v>
      </c>
      <c r="J33" s="96"/>
      <c r="K33" s="96">
        <f t="shared" si="2"/>
        <v>43324</v>
      </c>
      <c r="L33" s="96"/>
      <c r="M33" s="97">
        <f t="shared" si="3"/>
        <v>31685</v>
      </c>
      <c r="N33" s="96"/>
      <c r="O33" s="96"/>
      <c r="P33" s="96"/>
      <c r="Q33" s="96">
        <f t="shared" si="4"/>
        <v>4002.75</v>
      </c>
      <c r="R33" s="96"/>
      <c r="S33" s="96">
        <f t="shared" si="5"/>
        <v>35687.75</v>
      </c>
      <c r="T33" s="175"/>
      <c r="U33" s="86"/>
      <c r="V33" s="86"/>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row>
    <row r="34" spans="1:58" x14ac:dyDescent="0.35">
      <c r="A34" s="184" t="s">
        <v>60</v>
      </c>
      <c r="B34" s="101" t="s">
        <v>59</v>
      </c>
      <c r="C34" s="185">
        <v>18</v>
      </c>
      <c r="D34" s="179"/>
      <c r="E34" s="182">
        <v>32597</v>
      </c>
      <c r="F34" s="96"/>
      <c r="G34" s="96">
        <f t="shared" si="0"/>
        <v>4139.55</v>
      </c>
      <c r="H34" s="96"/>
      <c r="I34" s="96">
        <f t="shared" si="1"/>
        <v>7855.8769999999995</v>
      </c>
      <c r="J34" s="96"/>
      <c r="K34" s="96">
        <f t="shared" si="2"/>
        <v>44593</v>
      </c>
      <c r="L34" s="96"/>
      <c r="M34" s="97">
        <f t="shared" si="3"/>
        <v>32597</v>
      </c>
      <c r="N34" s="96"/>
      <c r="O34" s="96"/>
      <c r="P34" s="96"/>
      <c r="Q34" s="96">
        <f t="shared" si="4"/>
        <v>4139.55</v>
      </c>
      <c r="R34" s="96"/>
      <c r="S34" s="96">
        <f t="shared" si="5"/>
        <v>36736.550000000003</v>
      </c>
      <c r="T34" s="175"/>
      <c r="U34" s="186"/>
      <c r="V34" s="186"/>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row>
    <row r="35" spans="1:58" x14ac:dyDescent="0.35">
      <c r="A35" s="184" t="s">
        <v>60</v>
      </c>
      <c r="B35" s="101"/>
      <c r="C35" s="101">
        <v>19</v>
      </c>
      <c r="D35" s="95"/>
      <c r="E35" s="182">
        <v>33430</v>
      </c>
      <c r="F35" s="96"/>
      <c r="G35" s="96">
        <f t="shared" si="0"/>
        <v>4264.5</v>
      </c>
      <c r="H35" s="96"/>
      <c r="I35" s="96">
        <f t="shared" si="1"/>
        <v>8056.63</v>
      </c>
      <c r="J35" s="96"/>
      <c r="K35" s="96">
        <f t="shared" si="2"/>
        <v>45752</v>
      </c>
      <c r="L35" s="96"/>
      <c r="M35" s="97">
        <f t="shared" si="3"/>
        <v>33430</v>
      </c>
      <c r="N35" s="96"/>
      <c r="O35" s="96"/>
      <c r="P35" s="96"/>
      <c r="Q35" s="96">
        <f t="shared" si="4"/>
        <v>4264.5</v>
      </c>
      <c r="R35" s="96"/>
      <c r="S35" s="96">
        <f t="shared" si="5"/>
        <v>37694.5</v>
      </c>
      <c r="T35" s="175"/>
      <c r="U35" s="86"/>
      <c r="V35" s="86"/>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row>
    <row r="36" spans="1:58" x14ac:dyDescent="0.35">
      <c r="A36" s="184" t="s">
        <v>60</v>
      </c>
      <c r="B36" s="94"/>
      <c r="C36" s="101">
        <v>20</v>
      </c>
      <c r="D36" s="95"/>
      <c r="E36" s="182">
        <v>34422</v>
      </c>
      <c r="F36" s="96"/>
      <c r="G36" s="96">
        <f t="shared" si="0"/>
        <v>4413.3</v>
      </c>
      <c r="H36" s="96"/>
      <c r="I36" s="96">
        <f t="shared" si="1"/>
        <v>8295.7019999999993</v>
      </c>
      <c r="J36" s="96"/>
      <c r="K36" s="96">
        <f t="shared" si="2"/>
        <v>47131</v>
      </c>
      <c r="L36" s="96"/>
      <c r="M36" s="97">
        <f t="shared" si="3"/>
        <v>34422</v>
      </c>
      <c r="N36" s="96"/>
      <c r="O36" s="96"/>
      <c r="P36" s="96"/>
      <c r="Q36" s="96">
        <f t="shared" si="4"/>
        <v>4413.3</v>
      </c>
      <c r="R36" s="96"/>
      <c r="S36" s="96">
        <f t="shared" si="5"/>
        <v>38835.300000000003</v>
      </c>
      <c r="T36" s="175"/>
      <c r="U36" s="86"/>
      <c r="V36" s="86"/>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row>
    <row r="37" spans="1:58" x14ac:dyDescent="0.35">
      <c r="A37" s="184" t="s">
        <v>60</v>
      </c>
      <c r="B37" s="101" t="s">
        <v>61</v>
      </c>
      <c r="C37" s="185">
        <v>21</v>
      </c>
      <c r="D37" s="179"/>
      <c r="E37" s="182">
        <v>35412</v>
      </c>
      <c r="F37" s="96"/>
      <c r="G37" s="96">
        <f t="shared" si="0"/>
        <v>4561.8</v>
      </c>
      <c r="H37" s="96"/>
      <c r="I37" s="96">
        <f t="shared" si="1"/>
        <v>8534.2919999999995</v>
      </c>
      <c r="J37" s="96"/>
      <c r="K37" s="96">
        <f t="shared" si="2"/>
        <v>48508</v>
      </c>
      <c r="L37" s="96"/>
      <c r="M37" s="97">
        <f t="shared" si="3"/>
        <v>35412</v>
      </c>
      <c r="N37" s="96"/>
      <c r="O37" s="96"/>
      <c r="P37" s="96"/>
      <c r="Q37" s="96">
        <f t="shared" si="4"/>
        <v>4561.8</v>
      </c>
      <c r="R37" s="96"/>
      <c r="S37" s="96">
        <f t="shared" si="5"/>
        <v>39973.800000000003</v>
      </c>
      <c r="T37" s="175"/>
      <c r="U37" s="186"/>
      <c r="V37" s="186"/>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row>
    <row r="38" spans="1:58" x14ac:dyDescent="0.35">
      <c r="A38" s="184"/>
      <c r="B38" s="101" t="s">
        <v>61</v>
      </c>
      <c r="C38" s="101">
        <v>22</v>
      </c>
      <c r="D38" s="95"/>
      <c r="E38" s="182">
        <v>36722</v>
      </c>
      <c r="F38" s="96"/>
      <c r="G38" s="96">
        <f t="shared" si="0"/>
        <v>4758.3</v>
      </c>
      <c r="H38" s="96"/>
      <c r="I38" s="96">
        <f t="shared" si="1"/>
        <v>8850.0020000000004</v>
      </c>
      <c r="J38" s="96"/>
      <c r="K38" s="96">
        <f t="shared" si="2"/>
        <v>50330</v>
      </c>
      <c r="L38" s="96"/>
      <c r="M38" s="97">
        <f t="shared" si="3"/>
        <v>36722</v>
      </c>
      <c r="N38" s="96"/>
      <c r="O38" s="96"/>
      <c r="P38" s="96"/>
      <c r="Q38" s="96">
        <f t="shared" si="4"/>
        <v>4758.3</v>
      </c>
      <c r="R38" s="96"/>
      <c r="S38" s="96">
        <f t="shared" si="5"/>
        <v>41480.300000000003</v>
      </c>
      <c r="T38" s="175"/>
      <c r="U38" s="86"/>
      <c r="V38" s="86"/>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row>
    <row r="39" spans="1:58" x14ac:dyDescent="0.35">
      <c r="A39" s="184"/>
      <c r="B39" s="94" t="s">
        <v>61</v>
      </c>
      <c r="C39" s="101">
        <v>23</v>
      </c>
      <c r="D39" s="95"/>
      <c r="E39" s="182">
        <v>37912</v>
      </c>
      <c r="F39" s="96"/>
      <c r="G39" s="96">
        <f t="shared" si="0"/>
        <v>4936.8</v>
      </c>
      <c r="H39" s="96"/>
      <c r="I39" s="96">
        <f t="shared" si="1"/>
        <v>9136.7919999999995</v>
      </c>
      <c r="J39" s="96"/>
      <c r="K39" s="96">
        <f t="shared" si="2"/>
        <v>51986</v>
      </c>
      <c r="L39" s="96"/>
      <c r="M39" s="97">
        <f t="shared" si="3"/>
        <v>37912</v>
      </c>
      <c r="N39" s="96"/>
      <c r="O39" s="96"/>
      <c r="P39" s="96"/>
      <c r="Q39" s="96">
        <f t="shared" si="4"/>
        <v>4936.8</v>
      </c>
      <c r="R39" s="96"/>
      <c r="S39" s="96">
        <f t="shared" si="5"/>
        <v>42848.800000000003</v>
      </c>
      <c r="T39" s="175"/>
      <c r="U39" s="86"/>
      <c r="V39" s="86"/>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row>
    <row r="40" spans="1:58" x14ac:dyDescent="0.35">
      <c r="A40" s="184" t="s">
        <v>62</v>
      </c>
      <c r="B40" s="101" t="s">
        <v>61</v>
      </c>
      <c r="C40" s="185">
        <v>24</v>
      </c>
      <c r="D40" s="179"/>
      <c r="E40" s="182">
        <v>39152</v>
      </c>
      <c r="F40" s="96"/>
      <c r="G40" s="96">
        <f t="shared" si="0"/>
        <v>5122.8</v>
      </c>
      <c r="H40" s="96"/>
      <c r="I40" s="96">
        <f t="shared" si="1"/>
        <v>9435.6319999999996</v>
      </c>
      <c r="J40" s="96"/>
      <c r="K40" s="96">
        <f t="shared" si="2"/>
        <v>53711</v>
      </c>
      <c r="L40" s="96"/>
      <c r="M40" s="97">
        <f t="shared" si="3"/>
        <v>39152</v>
      </c>
      <c r="N40" s="96"/>
      <c r="O40" s="96"/>
      <c r="P40" s="96"/>
      <c r="Q40" s="96">
        <f t="shared" si="4"/>
        <v>5122.8</v>
      </c>
      <c r="R40" s="96"/>
      <c r="S40" s="96">
        <f t="shared" si="5"/>
        <v>44274.8</v>
      </c>
      <c r="T40" s="175"/>
      <c r="U40" s="186"/>
      <c r="V40" s="186"/>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row>
    <row r="41" spans="1:58" x14ac:dyDescent="0.35">
      <c r="A41" s="184" t="s">
        <v>62</v>
      </c>
      <c r="B41" s="101"/>
      <c r="C41" s="101">
        <v>25</v>
      </c>
      <c r="D41" s="95"/>
      <c r="E41" s="182">
        <v>40389</v>
      </c>
      <c r="F41" s="96"/>
      <c r="G41" s="96">
        <f t="shared" si="0"/>
        <v>5308.3499999999995</v>
      </c>
      <c r="H41" s="96"/>
      <c r="I41" s="96">
        <f t="shared" si="1"/>
        <v>9733.7489999999998</v>
      </c>
      <c r="J41" s="96"/>
      <c r="K41" s="96">
        <f t="shared" si="2"/>
        <v>55431</v>
      </c>
      <c r="L41" s="96"/>
      <c r="M41" s="97">
        <f t="shared" si="3"/>
        <v>40389</v>
      </c>
      <c r="N41" s="96"/>
      <c r="O41" s="96"/>
      <c r="P41" s="96"/>
      <c r="Q41" s="96">
        <f t="shared" si="4"/>
        <v>5308.3499999999995</v>
      </c>
      <c r="R41" s="96"/>
      <c r="S41" s="96">
        <f t="shared" si="5"/>
        <v>45697.35</v>
      </c>
      <c r="T41" s="175"/>
      <c r="U41" s="86"/>
      <c r="V41" s="86"/>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row>
    <row r="42" spans="1:58" x14ac:dyDescent="0.35">
      <c r="A42" s="184" t="s">
        <v>62</v>
      </c>
      <c r="B42" s="94"/>
      <c r="C42" s="101">
        <v>26</v>
      </c>
      <c r="D42" s="95"/>
      <c r="E42" s="182">
        <v>41611</v>
      </c>
      <c r="F42" s="96"/>
      <c r="G42" s="96">
        <f t="shared" si="0"/>
        <v>5491.65</v>
      </c>
      <c r="H42" s="96"/>
      <c r="I42" s="96">
        <f t="shared" si="1"/>
        <v>10028.251</v>
      </c>
      <c r="J42" s="96"/>
      <c r="K42" s="96">
        <f t="shared" si="2"/>
        <v>57131</v>
      </c>
      <c r="L42" s="96"/>
      <c r="M42" s="97">
        <f t="shared" si="3"/>
        <v>41611</v>
      </c>
      <c r="N42" s="96"/>
      <c r="O42" s="96"/>
      <c r="P42" s="96"/>
      <c r="Q42" s="96">
        <f t="shared" si="4"/>
        <v>5491.65</v>
      </c>
      <c r="R42" s="96"/>
      <c r="S42" s="96">
        <f t="shared" si="5"/>
        <v>47102.65</v>
      </c>
      <c r="T42" s="175"/>
      <c r="U42" s="86"/>
      <c r="V42" s="86"/>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row>
    <row r="43" spans="1:58" x14ac:dyDescent="0.35">
      <c r="A43" s="184" t="s">
        <v>62</v>
      </c>
      <c r="B43" s="101" t="s">
        <v>63</v>
      </c>
      <c r="C43" s="185">
        <v>27</v>
      </c>
      <c r="D43" s="179"/>
      <c r="E43" s="182">
        <v>42839</v>
      </c>
      <c r="F43" s="96"/>
      <c r="G43" s="96">
        <f t="shared" si="0"/>
        <v>5675.8499999999995</v>
      </c>
      <c r="H43" s="96"/>
      <c r="I43" s="96">
        <f t="shared" si="1"/>
        <v>10324.199000000001</v>
      </c>
      <c r="J43" s="96"/>
      <c r="K43" s="96">
        <f t="shared" si="2"/>
        <v>58839</v>
      </c>
      <c r="L43" s="96"/>
      <c r="M43" s="97">
        <f t="shared" si="3"/>
        <v>42839</v>
      </c>
      <c r="N43" s="96"/>
      <c r="O43" s="96"/>
      <c r="P43" s="96"/>
      <c r="Q43" s="96">
        <f t="shared" si="4"/>
        <v>5675.8499999999995</v>
      </c>
      <c r="R43" s="96"/>
      <c r="S43" s="96">
        <f t="shared" si="5"/>
        <v>48514.85</v>
      </c>
      <c r="T43" s="175"/>
      <c r="U43" s="186"/>
      <c r="V43" s="186"/>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row>
    <row r="44" spans="1:58" x14ac:dyDescent="0.35">
      <c r="A44" s="184"/>
      <c r="B44" s="101" t="s">
        <v>63</v>
      </c>
      <c r="C44" s="101">
        <v>28</v>
      </c>
      <c r="D44" s="95"/>
      <c r="E44" s="182">
        <v>44286</v>
      </c>
      <c r="F44" s="96"/>
      <c r="G44" s="96">
        <f t="shared" si="0"/>
        <v>5892.9</v>
      </c>
      <c r="H44" s="96"/>
      <c r="I44" s="96">
        <f t="shared" si="1"/>
        <v>10672.925999999999</v>
      </c>
      <c r="J44" s="96"/>
      <c r="K44" s="96">
        <f t="shared" si="2"/>
        <v>60852</v>
      </c>
      <c r="L44" s="96"/>
      <c r="M44" s="97">
        <f t="shared" si="3"/>
        <v>44286</v>
      </c>
      <c r="N44" s="96"/>
      <c r="O44" s="96"/>
      <c r="P44" s="96"/>
      <c r="Q44" s="96">
        <f t="shared" si="4"/>
        <v>5892.9</v>
      </c>
      <c r="R44" s="96"/>
      <c r="S44" s="96">
        <f t="shared" si="5"/>
        <v>50178.9</v>
      </c>
      <c r="T44" s="175"/>
      <c r="U44" s="86"/>
      <c r="V44" s="86"/>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row>
    <row r="45" spans="1:58" x14ac:dyDescent="0.35">
      <c r="A45" s="184"/>
      <c r="B45" s="94" t="s">
        <v>63</v>
      </c>
      <c r="C45" s="101">
        <v>29</v>
      </c>
      <c r="D45" s="95"/>
      <c r="E45" s="182">
        <v>45734</v>
      </c>
      <c r="F45" s="96"/>
      <c r="G45" s="96">
        <f t="shared" si="0"/>
        <v>6110.0999999999995</v>
      </c>
      <c r="H45" s="96"/>
      <c r="I45" s="96">
        <f t="shared" si="1"/>
        <v>11021.894</v>
      </c>
      <c r="J45" s="96"/>
      <c r="K45" s="96">
        <f t="shared" si="2"/>
        <v>62866</v>
      </c>
      <c r="L45" s="96"/>
      <c r="M45" s="97">
        <f t="shared" si="3"/>
        <v>45734</v>
      </c>
      <c r="N45" s="96"/>
      <c r="O45" s="96"/>
      <c r="P45" s="96"/>
      <c r="Q45" s="96">
        <f t="shared" si="4"/>
        <v>6110.0999999999995</v>
      </c>
      <c r="R45" s="96"/>
      <c r="S45" s="96">
        <f t="shared" si="5"/>
        <v>51844.1</v>
      </c>
      <c r="T45" s="175"/>
      <c r="U45" s="86"/>
      <c r="V45" s="86"/>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row>
    <row r="46" spans="1:58" x14ac:dyDescent="0.35">
      <c r="A46" s="184" t="s">
        <v>64</v>
      </c>
      <c r="B46" s="101" t="s">
        <v>63</v>
      </c>
      <c r="C46" s="185">
        <v>30</v>
      </c>
      <c r="D46" s="179"/>
      <c r="E46" s="182">
        <v>47181</v>
      </c>
      <c r="F46" s="96"/>
      <c r="G46" s="96">
        <f t="shared" si="0"/>
        <v>6327.15</v>
      </c>
      <c r="H46" s="96"/>
      <c r="I46" s="96">
        <f t="shared" si="1"/>
        <v>11370.620999999999</v>
      </c>
      <c r="J46" s="96"/>
      <c r="K46" s="96">
        <f t="shared" si="2"/>
        <v>64879</v>
      </c>
      <c r="L46" s="96"/>
      <c r="M46" s="97">
        <f t="shared" si="3"/>
        <v>47181</v>
      </c>
      <c r="N46" s="96"/>
      <c r="O46" s="96"/>
      <c r="P46" s="96"/>
      <c r="Q46" s="96">
        <f t="shared" si="4"/>
        <v>6327.15</v>
      </c>
      <c r="R46" s="96"/>
      <c r="S46" s="96">
        <f t="shared" si="5"/>
        <v>53508.15</v>
      </c>
      <c r="T46" s="175"/>
      <c r="U46" s="186"/>
      <c r="V46" s="186"/>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row>
    <row r="47" spans="1:58" x14ac:dyDescent="0.35">
      <c r="A47" s="184" t="s">
        <v>64</v>
      </c>
      <c r="B47" s="101"/>
      <c r="C47" s="101">
        <v>31</v>
      </c>
      <c r="D47" s="95"/>
      <c r="E47" s="182">
        <v>48925</v>
      </c>
      <c r="F47" s="96"/>
      <c r="G47" s="96">
        <f t="shared" si="0"/>
        <v>6588.75</v>
      </c>
      <c r="H47" s="96"/>
      <c r="I47" s="96">
        <f t="shared" si="1"/>
        <v>11790.924999999999</v>
      </c>
      <c r="J47" s="96"/>
      <c r="K47" s="96">
        <f t="shared" si="2"/>
        <v>67305</v>
      </c>
      <c r="L47" s="96"/>
      <c r="M47" s="97">
        <f t="shared" si="3"/>
        <v>48925</v>
      </c>
      <c r="N47" s="96"/>
      <c r="O47" s="96"/>
      <c r="P47" s="96"/>
      <c r="Q47" s="96">
        <f t="shared" si="4"/>
        <v>6588.75</v>
      </c>
      <c r="R47" s="96"/>
      <c r="S47" s="96">
        <f t="shared" si="5"/>
        <v>55513.75</v>
      </c>
      <c r="T47" s="175"/>
      <c r="U47" s="86"/>
      <c r="V47" s="86"/>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row>
    <row r="48" spans="1:58" x14ac:dyDescent="0.35">
      <c r="A48" s="184" t="s">
        <v>64</v>
      </c>
      <c r="B48" s="94"/>
      <c r="C48" s="101">
        <v>32</v>
      </c>
      <c r="D48" s="95"/>
      <c r="E48" s="182">
        <v>50668</v>
      </c>
      <c r="F48" s="96"/>
      <c r="G48" s="96">
        <f t="shared" si="0"/>
        <v>6850.2</v>
      </c>
      <c r="H48" s="96"/>
      <c r="I48" s="96">
        <f t="shared" si="1"/>
        <v>12210.987999999999</v>
      </c>
      <c r="J48" s="96"/>
      <c r="K48" s="96">
        <f t="shared" si="2"/>
        <v>69729</v>
      </c>
      <c r="L48" s="96"/>
      <c r="M48" s="97">
        <f t="shared" si="3"/>
        <v>50668</v>
      </c>
      <c r="N48" s="96"/>
      <c r="O48" s="96"/>
      <c r="P48" s="96"/>
      <c r="Q48" s="96">
        <f t="shared" si="4"/>
        <v>6850.2</v>
      </c>
      <c r="R48" s="96"/>
      <c r="S48" s="96">
        <f t="shared" si="5"/>
        <v>57518.2</v>
      </c>
      <c r="T48" s="175"/>
      <c r="U48" s="86"/>
      <c r="V48" s="86"/>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row>
    <row r="49" spans="1:58" x14ac:dyDescent="0.35">
      <c r="A49" s="187" t="s">
        <v>64</v>
      </c>
      <c r="B49" s="101" t="s">
        <v>65</v>
      </c>
      <c r="C49" s="185">
        <v>33</v>
      </c>
      <c r="D49" s="179"/>
      <c r="E49" s="182">
        <v>52413</v>
      </c>
      <c r="F49" s="96"/>
      <c r="G49" s="96">
        <f t="shared" si="0"/>
        <v>7111.95</v>
      </c>
      <c r="H49" s="96"/>
      <c r="I49" s="96">
        <f t="shared" si="1"/>
        <v>12631.532999999999</v>
      </c>
      <c r="J49" s="96"/>
      <c r="K49" s="96">
        <f t="shared" si="2"/>
        <v>72157</v>
      </c>
      <c r="L49" s="96"/>
      <c r="M49" s="97">
        <f t="shared" si="3"/>
        <v>52413</v>
      </c>
      <c r="N49" s="96"/>
      <c r="O49" s="96"/>
      <c r="P49" s="96"/>
      <c r="Q49" s="96">
        <f t="shared" si="4"/>
        <v>7111.95</v>
      </c>
      <c r="R49" s="96"/>
      <c r="S49" s="96">
        <f t="shared" si="5"/>
        <v>59524.95</v>
      </c>
      <c r="T49" s="175"/>
      <c r="U49" s="186"/>
      <c r="V49" s="186"/>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row>
    <row r="50" spans="1:58" x14ac:dyDescent="0.35">
      <c r="A50" s="188"/>
      <c r="B50" s="101" t="s">
        <v>65</v>
      </c>
      <c r="C50" s="101">
        <v>34</v>
      </c>
      <c r="D50" s="95"/>
      <c r="E50" s="182">
        <v>54866</v>
      </c>
      <c r="F50" s="96"/>
      <c r="G50" s="96">
        <f t="shared" si="0"/>
        <v>7479.9</v>
      </c>
      <c r="H50" s="96"/>
      <c r="I50" s="96">
        <f t="shared" si="1"/>
        <v>13222.706</v>
      </c>
      <c r="J50" s="96"/>
      <c r="K50" s="96">
        <f t="shared" si="2"/>
        <v>75569</v>
      </c>
      <c r="L50" s="96"/>
      <c r="M50" s="97">
        <f t="shared" si="3"/>
        <v>54866</v>
      </c>
      <c r="N50" s="96"/>
      <c r="O50" s="96"/>
      <c r="P50" s="96"/>
      <c r="Q50" s="96">
        <f t="shared" si="4"/>
        <v>7479.9</v>
      </c>
      <c r="R50" s="96"/>
      <c r="S50" s="96">
        <f t="shared" si="5"/>
        <v>62345.9</v>
      </c>
      <c r="T50" s="175"/>
      <c r="U50" s="86"/>
      <c r="V50" s="86"/>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row>
    <row r="51" spans="1:58" x14ac:dyDescent="0.35">
      <c r="A51" s="187"/>
      <c r="B51" s="94" t="s">
        <v>65</v>
      </c>
      <c r="C51" s="101">
        <v>35</v>
      </c>
      <c r="D51" s="95"/>
      <c r="E51" s="182">
        <v>57458</v>
      </c>
      <c r="F51" s="96"/>
      <c r="G51" s="96">
        <f t="shared" si="0"/>
        <v>7868.7</v>
      </c>
      <c r="H51" s="96"/>
      <c r="I51" s="96">
        <f t="shared" si="1"/>
        <v>13847.377999999999</v>
      </c>
      <c r="J51" s="96"/>
      <c r="K51" s="96">
        <f t="shared" si="2"/>
        <v>79174</v>
      </c>
      <c r="L51" s="96"/>
      <c r="M51" s="97">
        <f t="shared" si="3"/>
        <v>57458</v>
      </c>
      <c r="N51" s="96"/>
      <c r="O51" s="96"/>
      <c r="P51" s="96"/>
      <c r="Q51" s="96">
        <f t="shared" si="4"/>
        <v>7868.7</v>
      </c>
      <c r="R51" s="96"/>
      <c r="S51" s="96">
        <f t="shared" si="5"/>
        <v>65326.7</v>
      </c>
      <c r="T51" s="175"/>
      <c r="U51" s="86"/>
      <c r="V51" s="86"/>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row>
    <row r="52" spans="1:58" x14ac:dyDescent="0.35">
      <c r="A52" s="187" t="s">
        <v>66</v>
      </c>
      <c r="B52" s="101" t="s">
        <v>65</v>
      </c>
      <c r="C52" s="101">
        <v>36</v>
      </c>
      <c r="D52" s="95"/>
      <c r="E52" s="182">
        <v>60050</v>
      </c>
      <c r="F52" s="96"/>
      <c r="G52" s="96">
        <f t="shared" si="0"/>
        <v>8257.5</v>
      </c>
      <c r="H52" s="96"/>
      <c r="I52" s="96">
        <f t="shared" si="1"/>
        <v>14472.05</v>
      </c>
      <c r="J52" s="96"/>
      <c r="K52" s="96">
        <f t="shared" si="2"/>
        <v>82780</v>
      </c>
      <c r="L52" s="96"/>
      <c r="M52" s="97">
        <f t="shared" si="3"/>
        <v>60050</v>
      </c>
      <c r="N52" s="96"/>
      <c r="O52" s="96"/>
      <c r="P52" s="96"/>
      <c r="Q52" s="96">
        <f t="shared" si="4"/>
        <v>8257.5</v>
      </c>
      <c r="R52" s="96"/>
      <c r="S52" s="96">
        <f t="shared" si="5"/>
        <v>68307.5</v>
      </c>
      <c r="T52" s="175"/>
      <c r="U52" s="86"/>
      <c r="V52" s="86"/>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row>
    <row r="53" spans="1:58" x14ac:dyDescent="0.35">
      <c r="A53" s="187" t="s">
        <v>66</v>
      </c>
      <c r="B53" s="101"/>
      <c r="C53" s="101">
        <v>37</v>
      </c>
      <c r="D53" s="95"/>
      <c r="E53" s="182">
        <v>61994</v>
      </c>
      <c r="F53" s="96"/>
      <c r="G53" s="96">
        <f t="shared" si="0"/>
        <v>8549.1</v>
      </c>
      <c r="H53" s="96"/>
      <c r="I53" s="96">
        <f t="shared" si="1"/>
        <v>14940.554</v>
      </c>
      <c r="J53" s="96"/>
      <c r="K53" s="96">
        <f t="shared" si="2"/>
        <v>85484</v>
      </c>
      <c r="L53" s="96"/>
      <c r="M53" s="97">
        <f t="shared" si="3"/>
        <v>61994</v>
      </c>
      <c r="N53" s="96"/>
      <c r="O53" s="96"/>
      <c r="P53" s="96"/>
      <c r="Q53" s="96">
        <f t="shared" si="4"/>
        <v>8549.1</v>
      </c>
      <c r="R53" s="96"/>
      <c r="S53" s="96">
        <f t="shared" si="5"/>
        <v>70543.100000000006</v>
      </c>
      <c r="T53" s="175"/>
      <c r="U53" s="86"/>
      <c r="V53" s="86"/>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row>
    <row r="54" spans="1:58" x14ac:dyDescent="0.35">
      <c r="A54" s="187" t="s">
        <v>66</v>
      </c>
      <c r="B54" s="94"/>
      <c r="C54" s="101">
        <v>38</v>
      </c>
      <c r="D54" s="95"/>
      <c r="E54" s="182">
        <v>63936</v>
      </c>
      <c r="F54" s="96"/>
      <c r="G54" s="96">
        <f t="shared" si="0"/>
        <v>8840.4</v>
      </c>
      <c r="H54" s="96"/>
      <c r="I54" s="96">
        <f t="shared" si="1"/>
        <v>15408.575999999999</v>
      </c>
      <c r="J54" s="96"/>
      <c r="K54" s="96">
        <f t="shared" si="2"/>
        <v>88185</v>
      </c>
      <c r="L54" s="96"/>
      <c r="M54" s="97">
        <f t="shared" si="3"/>
        <v>63936</v>
      </c>
      <c r="N54" s="96"/>
      <c r="O54" s="96"/>
      <c r="P54" s="96"/>
      <c r="Q54" s="96">
        <f t="shared" si="4"/>
        <v>8840.4</v>
      </c>
      <c r="R54" s="96"/>
      <c r="S54" s="96">
        <f t="shared" si="5"/>
        <v>72776.399999999994</v>
      </c>
      <c r="T54" s="175"/>
      <c r="U54" s="86"/>
      <c r="V54" s="86"/>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row>
    <row r="55" spans="1:58" x14ac:dyDescent="0.35">
      <c r="A55" s="187" t="s">
        <v>66</v>
      </c>
      <c r="B55" s="101" t="s">
        <v>67</v>
      </c>
      <c r="C55" s="101">
        <v>39</v>
      </c>
      <c r="D55" s="95"/>
      <c r="E55" s="182">
        <v>65878</v>
      </c>
      <c r="F55" s="96"/>
      <c r="G55" s="96">
        <f t="shared" si="0"/>
        <v>9131.6999999999989</v>
      </c>
      <c r="H55" s="96"/>
      <c r="I55" s="96">
        <f t="shared" si="1"/>
        <v>15876.598</v>
      </c>
      <c r="J55" s="96"/>
      <c r="K55" s="96">
        <f t="shared" si="2"/>
        <v>90887</v>
      </c>
      <c r="L55" s="96"/>
      <c r="M55" s="97">
        <f t="shared" si="3"/>
        <v>65878</v>
      </c>
      <c r="N55" s="96"/>
      <c r="O55" s="96"/>
      <c r="P55" s="96"/>
      <c r="Q55" s="96">
        <f t="shared" si="4"/>
        <v>9131.6999999999989</v>
      </c>
      <c r="R55" s="96"/>
      <c r="S55" s="96">
        <f t="shared" si="5"/>
        <v>75009.7</v>
      </c>
      <c r="T55" s="175"/>
      <c r="U55" s="86"/>
      <c r="V55" s="86"/>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row>
    <row r="56" spans="1:58" x14ac:dyDescent="0.35">
      <c r="A56" s="187"/>
      <c r="B56" s="101" t="s">
        <v>67</v>
      </c>
      <c r="C56" s="101">
        <v>40</v>
      </c>
      <c r="D56" s="95"/>
      <c r="E56" s="182">
        <v>67821</v>
      </c>
      <c r="F56" s="96"/>
      <c r="G56" s="96">
        <f t="shared" si="0"/>
        <v>9423.15</v>
      </c>
      <c r="H56" s="96"/>
      <c r="I56" s="96">
        <f t="shared" si="1"/>
        <v>16344.860999999999</v>
      </c>
      <c r="J56" s="96"/>
      <c r="K56" s="96">
        <f t="shared" si="2"/>
        <v>93589</v>
      </c>
      <c r="L56" s="96"/>
      <c r="M56" s="97">
        <f t="shared" si="3"/>
        <v>67821</v>
      </c>
      <c r="N56" s="96"/>
      <c r="O56" s="96"/>
      <c r="P56" s="96"/>
      <c r="Q56" s="96">
        <f t="shared" si="4"/>
        <v>9423.15</v>
      </c>
      <c r="R56" s="96"/>
      <c r="S56" s="96">
        <f t="shared" si="5"/>
        <v>77244.149999999994</v>
      </c>
      <c r="T56" s="175"/>
      <c r="U56" s="86"/>
      <c r="V56" s="86"/>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row>
    <row r="57" spans="1:58" x14ac:dyDescent="0.35">
      <c r="A57" s="187"/>
      <c r="B57" s="94" t="s">
        <v>67</v>
      </c>
      <c r="C57" s="101">
        <v>41</v>
      </c>
      <c r="D57" s="95"/>
      <c r="E57" s="182">
        <v>69765</v>
      </c>
      <c r="F57" s="96"/>
      <c r="G57" s="96">
        <f t="shared" si="0"/>
        <v>9714.75</v>
      </c>
      <c r="H57" s="96"/>
      <c r="I57" s="96">
        <f t="shared" si="1"/>
        <v>16813.364999999998</v>
      </c>
      <c r="J57" s="96"/>
      <c r="K57" s="96">
        <f t="shared" si="2"/>
        <v>96293</v>
      </c>
      <c r="L57" s="96"/>
      <c r="M57" s="97">
        <f t="shared" si="3"/>
        <v>69765</v>
      </c>
      <c r="N57" s="96"/>
      <c r="O57" s="96"/>
      <c r="P57" s="96"/>
      <c r="Q57" s="96">
        <f t="shared" si="4"/>
        <v>9714.75</v>
      </c>
      <c r="R57" s="96"/>
      <c r="S57" s="96">
        <f t="shared" si="5"/>
        <v>79479.75</v>
      </c>
      <c r="T57" s="175"/>
      <c r="U57" s="86"/>
      <c r="V57" s="86"/>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row>
    <row r="58" spans="1:58" x14ac:dyDescent="0.35">
      <c r="A58" s="187" t="s">
        <v>68</v>
      </c>
      <c r="B58" s="101" t="s">
        <v>67</v>
      </c>
      <c r="C58" s="101">
        <v>42</v>
      </c>
      <c r="D58" s="95"/>
      <c r="E58" s="182">
        <v>71709</v>
      </c>
      <c r="F58" s="96"/>
      <c r="G58" s="96">
        <f t="shared" si="0"/>
        <v>10006.35</v>
      </c>
      <c r="H58" s="96"/>
      <c r="I58" s="96">
        <f t="shared" si="1"/>
        <v>17281.868999999999</v>
      </c>
      <c r="J58" s="96"/>
      <c r="K58" s="96">
        <f t="shared" si="2"/>
        <v>98997</v>
      </c>
      <c r="L58" s="96"/>
      <c r="M58" s="97">
        <f t="shared" si="3"/>
        <v>71709</v>
      </c>
      <c r="N58" s="96"/>
      <c r="O58" s="96"/>
      <c r="P58" s="96"/>
      <c r="Q58" s="96">
        <f t="shared" si="4"/>
        <v>10006.35</v>
      </c>
      <c r="R58" s="96"/>
      <c r="S58" s="96">
        <f t="shared" si="5"/>
        <v>81715.350000000006</v>
      </c>
      <c r="T58" s="175"/>
      <c r="U58" s="86"/>
      <c r="V58" s="86"/>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row>
    <row r="59" spans="1:58" x14ac:dyDescent="0.35">
      <c r="A59" s="187" t="s">
        <v>68</v>
      </c>
      <c r="B59" s="101"/>
      <c r="C59" s="101">
        <v>43</v>
      </c>
      <c r="D59" s="95"/>
      <c r="E59" s="182">
        <v>73650</v>
      </c>
      <c r="F59" s="96"/>
      <c r="G59" s="96">
        <f t="shared" si="0"/>
        <v>10297.5</v>
      </c>
      <c r="H59" s="96"/>
      <c r="I59" s="96">
        <f t="shared" si="1"/>
        <v>17749.649999999998</v>
      </c>
      <c r="J59" s="96"/>
      <c r="K59" s="96">
        <f t="shared" si="2"/>
        <v>101698</v>
      </c>
      <c r="L59" s="96"/>
      <c r="M59" s="97">
        <f t="shared" si="3"/>
        <v>73650</v>
      </c>
      <c r="N59" s="96"/>
      <c r="O59" s="96"/>
      <c r="P59" s="96"/>
      <c r="Q59" s="96">
        <f t="shared" si="4"/>
        <v>10297.5</v>
      </c>
      <c r="R59" s="96"/>
      <c r="S59" s="96">
        <f t="shared" si="5"/>
        <v>83947.5</v>
      </c>
      <c r="T59" s="175"/>
      <c r="U59" s="86"/>
      <c r="V59" s="86"/>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row>
    <row r="60" spans="1:58" x14ac:dyDescent="0.35">
      <c r="A60" s="187" t="s">
        <v>68</v>
      </c>
      <c r="B60" s="94"/>
      <c r="C60" s="101">
        <v>44</v>
      </c>
      <c r="D60" s="95"/>
      <c r="E60" s="182">
        <v>75594</v>
      </c>
      <c r="F60" s="96"/>
      <c r="G60" s="96">
        <f t="shared" si="0"/>
        <v>10589.1</v>
      </c>
      <c r="H60" s="96"/>
      <c r="I60" s="96">
        <f t="shared" si="1"/>
        <v>18218.153999999999</v>
      </c>
      <c r="J60" s="96"/>
      <c r="K60" s="96">
        <f t="shared" si="2"/>
        <v>104401</v>
      </c>
      <c r="L60" s="96"/>
      <c r="M60" s="97">
        <f t="shared" si="3"/>
        <v>75594</v>
      </c>
      <c r="N60" s="96"/>
      <c r="O60" s="96"/>
      <c r="P60" s="96"/>
      <c r="Q60" s="96">
        <f t="shared" si="4"/>
        <v>10589.1</v>
      </c>
      <c r="R60" s="96"/>
      <c r="S60" s="96">
        <f t="shared" si="5"/>
        <v>86183.1</v>
      </c>
      <c r="T60" s="175"/>
      <c r="U60" s="86"/>
      <c r="V60" s="86"/>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row>
    <row r="61" spans="1:58" x14ac:dyDescent="0.35">
      <c r="A61" s="187" t="s">
        <v>68</v>
      </c>
      <c r="B61" s="101" t="s">
        <v>69</v>
      </c>
      <c r="C61" s="101">
        <v>45</v>
      </c>
      <c r="D61" s="95"/>
      <c r="E61" s="182">
        <v>77536</v>
      </c>
      <c r="F61" s="96"/>
      <c r="G61" s="96">
        <f t="shared" si="0"/>
        <v>10880.4</v>
      </c>
      <c r="H61" s="96"/>
      <c r="I61" s="96">
        <f t="shared" si="1"/>
        <v>18686.175999999999</v>
      </c>
      <c r="J61" s="96"/>
      <c r="K61" s="96">
        <f t="shared" si="2"/>
        <v>107102</v>
      </c>
      <c r="L61" s="96"/>
      <c r="M61" s="97">
        <f t="shared" si="3"/>
        <v>77536</v>
      </c>
      <c r="N61" s="96"/>
      <c r="O61" s="96"/>
      <c r="P61" s="96"/>
      <c r="Q61" s="96">
        <f t="shared" si="4"/>
        <v>10880.4</v>
      </c>
      <c r="R61" s="96"/>
      <c r="S61" s="96">
        <f t="shared" si="5"/>
        <v>88416.4</v>
      </c>
      <c r="T61" s="175"/>
      <c r="U61" s="86"/>
      <c r="V61" s="86"/>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row>
    <row r="62" spans="1:58" x14ac:dyDescent="0.35">
      <c r="A62" s="187"/>
      <c r="B62" s="101" t="s">
        <v>69</v>
      </c>
      <c r="C62" s="101">
        <v>46</v>
      </c>
      <c r="D62" s="95"/>
      <c r="E62" s="182">
        <v>79479</v>
      </c>
      <c r="F62" s="96"/>
      <c r="G62" s="96">
        <f t="shared" si="0"/>
        <v>11171.85</v>
      </c>
      <c r="H62" s="96"/>
      <c r="I62" s="96">
        <f t="shared" si="1"/>
        <v>19154.438999999998</v>
      </c>
      <c r="J62" s="96"/>
      <c r="K62" s="96">
        <f t="shared" si="2"/>
        <v>109805</v>
      </c>
      <c r="L62" s="96"/>
      <c r="M62" s="97">
        <f t="shared" si="3"/>
        <v>79479</v>
      </c>
      <c r="N62" s="96"/>
      <c r="O62" s="96"/>
      <c r="P62" s="96"/>
      <c r="Q62" s="96">
        <f t="shared" si="4"/>
        <v>11171.85</v>
      </c>
      <c r="R62" s="96"/>
      <c r="S62" s="96">
        <f t="shared" si="5"/>
        <v>90650.85</v>
      </c>
      <c r="T62" s="175"/>
      <c r="U62" s="86"/>
      <c r="V62" s="86"/>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row>
    <row r="63" spans="1:58" x14ac:dyDescent="0.35">
      <c r="A63" s="187"/>
      <c r="B63" s="101" t="s">
        <v>69</v>
      </c>
      <c r="C63" s="101">
        <v>47</v>
      </c>
      <c r="D63" s="95"/>
      <c r="E63" s="182">
        <v>81421</v>
      </c>
      <c r="F63" s="96"/>
      <c r="G63" s="96">
        <f t="shared" si="0"/>
        <v>11463.15</v>
      </c>
      <c r="H63" s="96"/>
      <c r="I63" s="96">
        <f t="shared" si="1"/>
        <v>19622.460999999999</v>
      </c>
      <c r="J63" s="96"/>
      <c r="K63" s="96">
        <f t="shared" si="2"/>
        <v>112506</v>
      </c>
      <c r="L63" s="96"/>
      <c r="M63" s="97">
        <f t="shared" si="3"/>
        <v>81421</v>
      </c>
      <c r="N63" s="96"/>
      <c r="O63" s="96"/>
      <c r="P63" s="96"/>
      <c r="Q63" s="96">
        <f t="shared" si="4"/>
        <v>11463.15</v>
      </c>
      <c r="R63" s="96"/>
      <c r="S63" s="96">
        <f t="shared" si="5"/>
        <v>92884.15</v>
      </c>
      <c r="T63" s="175"/>
      <c r="U63" s="86"/>
      <c r="V63" s="86"/>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row>
    <row r="64" spans="1:58" x14ac:dyDescent="0.35">
      <c r="A64" s="187"/>
      <c r="B64" s="101" t="s">
        <v>69</v>
      </c>
      <c r="C64" s="101">
        <v>48</v>
      </c>
      <c r="D64" s="95"/>
      <c r="E64" s="182">
        <v>83366</v>
      </c>
      <c r="F64" s="96"/>
      <c r="G64" s="96">
        <f t="shared" si="0"/>
        <v>11754.9</v>
      </c>
      <c r="H64" s="96"/>
      <c r="I64" s="96">
        <f t="shared" si="1"/>
        <v>20091.205999999998</v>
      </c>
      <c r="J64" s="96"/>
      <c r="K64" s="96">
        <f t="shared" si="2"/>
        <v>115212</v>
      </c>
      <c r="L64" s="96"/>
      <c r="M64" s="97">
        <f t="shared" si="3"/>
        <v>83366</v>
      </c>
      <c r="N64" s="96"/>
      <c r="O64" s="96"/>
      <c r="P64" s="96"/>
      <c r="Q64" s="96">
        <f t="shared" si="4"/>
        <v>11754.9</v>
      </c>
      <c r="R64" s="96"/>
      <c r="S64" s="96">
        <f t="shared" si="5"/>
        <v>95120.9</v>
      </c>
      <c r="T64" s="175"/>
      <c r="U64" s="86"/>
      <c r="V64" s="86"/>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row>
    <row r="65" spans="1:58" ht="16" thickBot="1" x14ac:dyDescent="0.4">
      <c r="A65" s="189"/>
      <c r="B65" s="190"/>
      <c r="C65" s="190"/>
      <c r="D65" s="191"/>
      <c r="E65" s="192"/>
      <c r="F65" s="192"/>
      <c r="G65" s="192"/>
      <c r="H65" s="192"/>
      <c r="I65" s="192"/>
      <c r="J65" s="192"/>
      <c r="K65" s="192"/>
      <c r="L65" s="192"/>
      <c r="M65" s="193"/>
      <c r="N65" s="192"/>
      <c r="O65" s="192"/>
      <c r="P65" s="192"/>
      <c r="Q65" s="192"/>
      <c r="R65" s="192"/>
      <c r="S65" s="192"/>
      <c r="T65" s="194"/>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row>
    <row r="66" spans="1:58" ht="16" thickTop="1" x14ac:dyDescent="0.3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row>
    <row r="67" spans="1:58" ht="16" thickBot="1" x14ac:dyDescent="0.4">
      <c r="A67" s="943" t="s">
        <v>70</v>
      </c>
      <c r="B67" s="943"/>
      <c r="C67" s="943"/>
      <c r="D67" s="943"/>
      <c r="E67" s="943"/>
      <c r="F67" s="943"/>
      <c r="G67" s="943"/>
      <c r="H67" s="943"/>
      <c r="I67" s="943"/>
      <c r="J67" s="943"/>
      <c r="K67" s="943"/>
      <c r="L67" s="943"/>
      <c r="M67" s="943"/>
      <c r="N67" s="943"/>
      <c r="O67" s="943"/>
      <c r="P67" s="943"/>
      <c r="Q67" s="943"/>
      <c r="R67" s="943"/>
      <c r="S67" s="943"/>
      <c r="T67" s="943"/>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row>
    <row r="68" spans="1:58" x14ac:dyDescent="0.35">
      <c r="A68" s="195"/>
      <c r="B68" s="196"/>
      <c r="C68" s="196"/>
      <c r="D68" s="196"/>
      <c r="E68" s="196"/>
      <c r="F68" s="196"/>
      <c r="G68" s="196"/>
      <c r="H68" s="196"/>
      <c r="I68" s="197" t="s">
        <v>71</v>
      </c>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row>
    <row r="69" spans="1:58" x14ac:dyDescent="0.35">
      <c r="A69" s="100" t="s">
        <v>72</v>
      </c>
      <c r="B69" s="95"/>
      <c r="C69" s="95"/>
      <c r="D69" s="95"/>
      <c r="E69" s="95"/>
      <c r="F69" s="95"/>
      <c r="G69" s="198"/>
      <c r="H69" s="95"/>
      <c r="I69" s="199">
        <v>43.12</v>
      </c>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row>
    <row r="70" spans="1:58" ht="16" thickBot="1" x14ac:dyDescent="0.4">
      <c r="A70" s="200" t="s">
        <v>73</v>
      </c>
      <c r="B70" s="111"/>
      <c r="C70" s="111"/>
      <c r="D70" s="111"/>
      <c r="E70" s="111"/>
      <c r="F70" s="111"/>
      <c r="G70" s="201"/>
      <c r="H70" s="111"/>
      <c r="I70" s="202">
        <v>34.71</v>
      </c>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row>
    <row r="71" spans="1:58" x14ac:dyDescent="0.3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row>
    <row r="72" spans="1:58" x14ac:dyDescent="0.3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row>
    <row r="73" spans="1:58" x14ac:dyDescent="0.3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row>
    <row r="74" spans="1:58" x14ac:dyDescent="0.3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row>
    <row r="75" spans="1:58" x14ac:dyDescent="0.3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row>
    <row r="76" spans="1:58" x14ac:dyDescent="0.3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row>
    <row r="77" spans="1:58" x14ac:dyDescent="0.3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row>
    <row r="78" spans="1:58" x14ac:dyDescent="0.3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row>
    <row r="79" spans="1:58" x14ac:dyDescent="0.3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row>
    <row r="80" spans="1:58" x14ac:dyDescent="0.3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row>
    <row r="81" spans="1:58" x14ac:dyDescent="0.3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row>
    <row r="82" spans="1:58" x14ac:dyDescent="0.3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row>
    <row r="83" spans="1:58" x14ac:dyDescent="0.3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row>
    <row r="84" spans="1:58" x14ac:dyDescent="0.3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row>
    <row r="85" spans="1:58" x14ac:dyDescent="0.35">
      <c r="A85" s="20"/>
      <c r="B85" s="203"/>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row>
    <row r="86" spans="1:58" x14ac:dyDescent="0.3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row>
    <row r="87" spans="1:58" x14ac:dyDescent="0.3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row>
    <row r="88" spans="1:58" x14ac:dyDescent="0.3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row>
    <row r="89" spans="1:58" x14ac:dyDescent="0.3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row>
    <row r="90" spans="1:58" x14ac:dyDescent="0.3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row>
    <row r="91" spans="1:58" x14ac:dyDescent="0.3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row>
    <row r="92" spans="1:58" x14ac:dyDescent="0.3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row>
    <row r="93" spans="1:58" x14ac:dyDescent="0.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row>
    <row r="94" spans="1:58" x14ac:dyDescent="0.3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row>
    <row r="95" spans="1:58" x14ac:dyDescent="0.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row>
    <row r="96" spans="1:58" x14ac:dyDescent="0.3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row>
    <row r="97" spans="1:58" x14ac:dyDescent="0.3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row>
  </sheetData>
  <mergeCells count="2">
    <mergeCell ref="A14:B14"/>
    <mergeCell ref="A67:T67"/>
  </mergeCells>
  <pageMargins left="0.75" right="0.75" top="1" bottom="1" header="0.5" footer="0.5"/>
  <pageSetup scale="57" orientation="portrait" horizontalDpi="90" verticalDpi="9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7F512-1597-49AB-A455-4300161643F1}">
  <sheetPr>
    <tabColor rgb="FFCC00CC"/>
    <pageSetUpPr fitToPage="1"/>
  </sheetPr>
  <dimension ref="A1:AJ85"/>
  <sheetViews>
    <sheetView topLeftCell="B12" workbookViewId="0">
      <selection activeCell="E22" sqref="E22"/>
    </sheetView>
  </sheetViews>
  <sheetFormatPr defaultColWidth="8.7265625" defaultRowHeight="14.5" x14ac:dyDescent="0.35"/>
  <cols>
    <col min="1" max="1" width="10.453125" style="211" hidden="1" customWidth="1"/>
    <col min="2" max="2" width="2.7265625" style="211" customWidth="1"/>
    <col min="3" max="4" width="8.7265625" style="211"/>
    <col min="5" max="5" width="11.81640625" style="211" customWidth="1"/>
    <col min="6" max="6" width="4.1796875" style="211" customWidth="1"/>
    <col min="7" max="7" width="10.7265625" style="211" customWidth="1"/>
    <col min="8" max="8" width="5.1796875" style="211" customWidth="1"/>
    <col min="9" max="9" width="10.54296875" style="211" customWidth="1"/>
    <col min="10" max="10" width="2.81640625" style="211" customWidth="1"/>
    <col min="11" max="11" width="12.453125" style="211" customWidth="1"/>
    <col min="12" max="12" width="8.7265625" style="211"/>
    <col min="13" max="13" width="13" style="211" customWidth="1"/>
    <col min="14" max="14" width="3.26953125" style="211" customWidth="1"/>
    <col min="15" max="15" width="8.7265625" style="211"/>
    <col min="16" max="16" width="3.54296875" style="211" customWidth="1"/>
    <col min="17" max="17" width="9.54296875" style="211" bestFit="1" customWidth="1"/>
    <col min="18" max="18" width="8.7265625" style="211"/>
    <col min="19" max="19" width="0" style="211" hidden="1" customWidth="1"/>
    <col min="20" max="20" width="9.54296875" style="211" bestFit="1" customWidth="1"/>
    <col min="21" max="21" width="9.81640625" style="211" bestFit="1" customWidth="1"/>
    <col min="22" max="16384" width="8.7265625" style="211"/>
  </cols>
  <sheetData>
    <row r="1" spans="1:36" ht="25" x14ac:dyDescent="0.5">
      <c r="A1" s="204" t="s">
        <v>74</v>
      </c>
      <c r="B1" s="205" t="s">
        <v>0</v>
      </c>
      <c r="C1" s="206"/>
      <c r="D1" s="206"/>
      <c r="E1" s="206"/>
      <c r="F1" s="206"/>
      <c r="G1" s="206"/>
      <c r="H1" s="206"/>
      <c r="I1" s="206"/>
      <c r="J1" s="206"/>
      <c r="K1" s="206"/>
      <c r="L1" s="206"/>
      <c r="M1" s="206"/>
      <c r="N1" s="207"/>
      <c r="O1" s="207"/>
      <c r="P1" s="207"/>
      <c r="Q1" s="207"/>
      <c r="R1" s="208"/>
      <c r="S1" s="209"/>
      <c r="T1" s="210"/>
      <c r="U1" s="210"/>
      <c r="V1" s="210"/>
      <c r="W1" s="209"/>
      <c r="X1" s="210"/>
      <c r="Y1" s="210"/>
      <c r="Z1" s="210"/>
      <c r="AA1" s="210"/>
      <c r="AB1" s="210"/>
      <c r="AC1" s="210"/>
      <c r="AD1" s="210"/>
      <c r="AE1" s="210"/>
      <c r="AF1" s="210"/>
      <c r="AG1" s="210"/>
      <c r="AH1" s="210"/>
      <c r="AI1" s="210"/>
      <c r="AJ1" s="210"/>
    </row>
    <row r="2" spans="1:36" ht="20" x14ac:dyDescent="0.4">
      <c r="A2" s="204"/>
      <c r="B2" s="212" t="s">
        <v>75</v>
      </c>
      <c r="C2" s="213"/>
      <c r="D2" s="213"/>
      <c r="E2" s="213"/>
      <c r="F2" s="213"/>
      <c r="G2" s="213"/>
      <c r="H2" s="213"/>
      <c r="I2" s="213"/>
      <c r="J2" s="213"/>
      <c r="K2" s="213"/>
      <c r="L2" s="213"/>
      <c r="M2" s="213"/>
      <c r="N2" s="214"/>
      <c r="O2" s="214"/>
      <c r="P2" s="214"/>
      <c r="Q2" s="214"/>
      <c r="R2" s="215"/>
      <c r="S2" s="209"/>
      <c r="T2" s="210"/>
      <c r="U2" s="210"/>
      <c r="V2" s="210"/>
      <c r="W2" s="209"/>
      <c r="X2" s="210"/>
      <c r="Y2" s="210"/>
      <c r="Z2" s="210"/>
      <c r="AA2" s="210"/>
      <c r="AB2" s="210"/>
      <c r="AC2" s="210"/>
      <c r="AD2" s="210"/>
      <c r="AE2" s="210"/>
      <c r="AF2" s="210"/>
      <c r="AG2" s="210"/>
      <c r="AH2" s="210"/>
      <c r="AI2" s="210"/>
      <c r="AJ2" s="210"/>
    </row>
    <row r="3" spans="1:36" ht="59.5" customHeight="1" x14ac:dyDescent="0.35">
      <c r="A3" s="204" t="s">
        <v>2</v>
      </c>
      <c r="B3" s="944" t="s">
        <v>76</v>
      </c>
      <c r="C3" s="945"/>
      <c r="D3" s="945"/>
      <c r="E3" s="945"/>
      <c r="F3" s="945"/>
      <c r="G3" s="945"/>
      <c r="H3" s="945"/>
      <c r="I3" s="945"/>
      <c r="J3" s="945"/>
      <c r="K3" s="945"/>
      <c r="L3" s="945"/>
      <c r="M3" s="945"/>
      <c r="N3" s="945"/>
      <c r="O3" s="945"/>
      <c r="P3" s="945"/>
      <c r="Q3" s="945"/>
      <c r="R3" s="946"/>
      <c r="S3" s="216"/>
      <c r="T3" s="216"/>
      <c r="U3" s="216"/>
      <c r="V3" s="216"/>
      <c r="W3" s="216"/>
      <c r="X3" s="210"/>
      <c r="Y3" s="210"/>
      <c r="Z3" s="210"/>
      <c r="AA3" s="210"/>
      <c r="AB3" s="210"/>
      <c r="AC3" s="210"/>
      <c r="AD3" s="210"/>
      <c r="AE3" s="210"/>
      <c r="AF3" s="210"/>
      <c r="AG3" s="210"/>
      <c r="AH3" s="210"/>
      <c r="AI3" s="210"/>
      <c r="AJ3" s="210"/>
    </row>
    <row r="4" spans="1:36" x14ac:dyDescent="0.35">
      <c r="A4" s="204" t="s">
        <v>7</v>
      </c>
      <c r="B4" s="217"/>
      <c r="C4" s="218" t="s">
        <v>77</v>
      </c>
      <c r="D4" s="218"/>
      <c r="E4" s="218"/>
      <c r="F4" s="219"/>
      <c r="G4" s="219"/>
      <c r="H4" s="218"/>
      <c r="I4" s="218"/>
      <c r="J4" s="218"/>
      <c r="K4" s="218"/>
      <c r="L4" s="218"/>
      <c r="M4" s="218"/>
      <c r="N4" s="218"/>
      <c r="O4" s="220"/>
      <c r="P4" s="220"/>
      <c r="Q4" s="218"/>
      <c r="R4" s="221"/>
      <c r="S4" s="216"/>
      <c r="T4" s="216"/>
      <c r="U4" s="216"/>
      <c r="V4" s="216"/>
      <c r="W4" s="216"/>
      <c r="X4" s="210"/>
      <c r="Y4" s="210"/>
      <c r="Z4" s="210"/>
      <c r="AA4" s="210"/>
      <c r="AB4" s="210"/>
      <c r="AC4" s="210"/>
      <c r="AD4" s="210"/>
      <c r="AE4" s="210"/>
      <c r="AF4" s="210"/>
      <c r="AG4" s="210"/>
      <c r="AH4" s="210"/>
      <c r="AI4" s="210"/>
      <c r="AJ4" s="210"/>
    </row>
    <row r="5" spans="1:36" x14ac:dyDescent="0.35">
      <c r="A5" s="204"/>
      <c r="B5" s="222"/>
      <c r="C5" s="218" t="s">
        <v>11</v>
      </c>
      <c r="D5" s="218"/>
      <c r="E5" s="218"/>
      <c r="F5" s="223" t="s">
        <v>12</v>
      </c>
      <c r="G5" s="218"/>
      <c r="H5" s="218"/>
      <c r="I5" s="218"/>
      <c r="J5" s="218"/>
      <c r="K5" s="223"/>
      <c r="L5" s="223"/>
      <c r="M5" s="223"/>
      <c r="N5" s="223"/>
      <c r="O5" s="220"/>
      <c r="P5" s="220"/>
      <c r="Q5" s="218"/>
      <c r="R5" s="221"/>
      <c r="S5" s="216"/>
      <c r="T5" s="216"/>
      <c r="U5" s="216"/>
      <c r="V5" s="216"/>
      <c r="W5" s="216"/>
      <c r="X5" s="210"/>
      <c r="Y5" s="210"/>
      <c r="Z5" s="210"/>
      <c r="AA5" s="210"/>
      <c r="AB5" s="210"/>
      <c r="AC5" s="210"/>
      <c r="AD5" s="210"/>
      <c r="AE5" s="210"/>
      <c r="AF5" s="210"/>
      <c r="AG5" s="210"/>
      <c r="AH5" s="210"/>
      <c r="AI5" s="210"/>
      <c r="AJ5" s="210"/>
    </row>
    <row r="6" spans="1:36" ht="15.5" x14ac:dyDescent="0.45">
      <c r="A6" s="204"/>
      <c r="B6" s="222"/>
      <c r="C6" s="224" t="s">
        <v>13</v>
      </c>
      <c r="D6" s="224"/>
      <c r="E6" s="224"/>
      <c r="F6" s="225"/>
      <c r="G6" s="226">
        <v>0</v>
      </c>
      <c r="H6" s="227"/>
      <c r="I6" s="227"/>
      <c r="J6" s="227"/>
      <c r="K6" s="223"/>
      <c r="L6" s="223"/>
      <c r="M6" s="223"/>
      <c r="N6" s="223"/>
      <c r="O6" s="220"/>
      <c r="P6" s="220"/>
      <c r="Q6" s="218"/>
      <c r="R6" s="221"/>
      <c r="S6" s="216"/>
      <c r="T6" s="216"/>
      <c r="U6" s="216"/>
      <c r="V6" s="216"/>
      <c r="W6" s="216"/>
      <c r="X6" s="210"/>
      <c r="Y6" s="210"/>
      <c r="Z6" s="210"/>
      <c r="AA6" s="210"/>
      <c r="AB6" s="210"/>
      <c r="AC6" s="210"/>
      <c r="AD6" s="210"/>
      <c r="AE6" s="210"/>
      <c r="AF6" s="210"/>
      <c r="AG6" s="210"/>
      <c r="AH6" s="210"/>
      <c r="AI6" s="210"/>
      <c r="AJ6" s="210"/>
    </row>
    <row r="7" spans="1:36" ht="15.5" x14ac:dyDescent="0.45">
      <c r="A7" s="216"/>
      <c r="B7" s="217"/>
      <c r="C7" s="224" t="s">
        <v>14</v>
      </c>
      <c r="D7" s="224"/>
      <c r="E7" s="224"/>
      <c r="F7" s="225"/>
      <c r="G7" s="226">
        <v>0.15</v>
      </c>
      <c r="H7" s="228"/>
      <c r="I7" s="229"/>
      <c r="J7" s="230"/>
      <c r="K7" s="218"/>
      <c r="L7" s="218"/>
      <c r="M7" s="225"/>
      <c r="N7" s="224"/>
      <c r="O7" s="218"/>
      <c r="P7" s="218"/>
      <c r="Q7" s="218"/>
      <c r="R7" s="221"/>
      <c r="S7" s="216"/>
      <c r="T7" s="216"/>
      <c r="U7" s="216"/>
      <c r="V7" s="216"/>
      <c r="W7" s="216"/>
      <c r="X7" s="210"/>
      <c r="Y7" s="210"/>
      <c r="Z7" s="210"/>
      <c r="AA7" s="210"/>
      <c r="AB7" s="210"/>
      <c r="AC7" s="210"/>
      <c r="AD7" s="210"/>
      <c r="AE7" s="210"/>
      <c r="AF7" s="210"/>
      <c r="AG7" s="210"/>
      <c r="AH7" s="210"/>
      <c r="AI7" s="210"/>
      <c r="AJ7" s="210"/>
    </row>
    <row r="8" spans="1:36" ht="15" x14ac:dyDescent="0.4">
      <c r="A8" s="216"/>
      <c r="B8" s="231"/>
      <c r="C8" s="218" t="s">
        <v>15</v>
      </c>
      <c r="D8" s="218"/>
      <c r="E8" s="218"/>
      <c r="F8" s="218" t="s">
        <v>16</v>
      </c>
      <c r="G8" s="223"/>
      <c r="H8" s="232"/>
      <c r="I8" s="223"/>
      <c r="J8" s="218"/>
      <c r="K8" s="233"/>
      <c r="L8" s="218"/>
      <c r="M8" s="218"/>
      <c r="N8" s="218"/>
      <c r="O8" s="218"/>
      <c r="P8" s="218"/>
      <c r="Q8" s="218"/>
      <c r="R8" s="221"/>
      <c r="S8" s="204" t="s">
        <v>9</v>
      </c>
      <c r="T8" s="234" t="s">
        <v>10</v>
      </c>
      <c r="U8" s="235">
        <v>1</v>
      </c>
      <c r="V8" s="235">
        <v>2</v>
      </c>
      <c r="W8" s="216"/>
      <c r="X8" s="210"/>
      <c r="Y8" s="236"/>
      <c r="Z8" s="236"/>
      <c r="AA8" s="236"/>
      <c r="AB8" s="210"/>
      <c r="AC8" s="210"/>
      <c r="AD8" s="210"/>
      <c r="AE8" s="210"/>
      <c r="AF8" s="210"/>
      <c r="AG8" s="210"/>
      <c r="AH8" s="210"/>
      <c r="AI8" s="210"/>
      <c r="AJ8" s="210"/>
    </row>
    <row r="9" spans="1:36" ht="16" thickBot="1" x14ac:dyDescent="0.5">
      <c r="A9" s="216"/>
      <c r="B9" s="237"/>
      <c r="C9" s="238" t="s">
        <v>17</v>
      </c>
      <c r="D9" s="238"/>
      <c r="E9" s="238"/>
      <c r="F9" s="239"/>
      <c r="G9" s="240">
        <v>0.2868</v>
      </c>
      <c r="H9" s="241"/>
      <c r="I9" s="242"/>
      <c r="J9" s="243"/>
      <c r="K9" s="244"/>
      <c r="L9" s="245"/>
      <c r="M9" s="245"/>
      <c r="N9" s="245"/>
      <c r="O9" s="245"/>
      <c r="P9" s="245"/>
      <c r="Q9" s="245"/>
      <c r="R9" s="246"/>
      <c r="S9" s="216"/>
      <c r="T9" s="247">
        <v>0</v>
      </c>
      <c r="U9" s="248">
        <v>0</v>
      </c>
      <c r="V9" s="248">
        <v>0</v>
      </c>
      <c r="W9" s="216"/>
      <c r="X9" s="210"/>
      <c r="Y9" s="249"/>
      <c r="Z9" s="249"/>
      <c r="AA9" s="249"/>
      <c r="AB9" s="210"/>
      <c r="AC9" s="250"/>
      <c r="AD9" s="210"/>
      <c r="AE9" s="210"/>
      <c r="AF9" s="210"/>
      <c r="AG9" s="210"/>
      <c r="AH9" s="210"/>
      <c r="AI9" s="210"/>
      <c r="AJ9" s="210"/>
    </row>
    <row r="10" spans="1:36" ht="16" thickBot="1" x14ac:dyDescent="0.5">
      <c r="A10" s="216"/>
      <c r="B10" s="251"/>
      <c r="C10" s="251"/>
      <c r="D10" s="251"/>
      <c r="E10" s="251"/>
      <c r="F10" s="251"/>
      <c r="G10" s="251"/>
      <c r="H10" s="251"/>
      <c r="I10" s="251"/>
      <c r="J10" s="251"/>
      <c r="K10" s="251"/>
      <c r="L10" s="251"/>
      <c r="M10" s="251"/>
      <c r="N10" s="251"/>
      <c r="O10" s="251"/>
      <c r="P10" s="251"/>
      <c r="Q10" s="251"/>
      <c r="R10" s="251"/>
      <c r="S10" s="216"/>
      <c r="T10" s="247"/>
      <c r="U10" s="252"/>
      <c r="V10" s="252"/>
      <c r="W10" s="216"/>
      <c r="X10" s="253"/>
      <c r="Y10" s="249"/>
      <c r="Z10" s="254"/>
      <c r="AA10" s="254"/>
      <c r="AB10" s="210"/>
      <c r="AC10" s="210"/>
      <c r="AD10" s="210"/>
      <c r="AE10" s="210"/>
      <c r="AF10" s="210"/>
      <c r="AG10" s="210"/>
      <c r="AH10" s="210"/>
      <c r="AI10" s="210"/>
      <c r="AJ10" s="210"/>
    </row>
    <row r="11" spans="1:36" ht="15.5" x14ac:dyDescent="0.45">
      <c r="A11" s="204" t="s">
        <v>19</v>
      </c>
      <c r="B11" s="947" t="s">
        <v>20</v>
      </c>
      <c r="C11" s="948"/>
      <c r="D11" s="948"/>
      <c r="E11" s="948"/>
      <c r="F11" s="948"/>
      <c r="G11" s="948"/>
      <c r="H11" s="948"/>
      <c r="I11" s="948"/>
      <c r="J11" s="948"/>
      <c r="K11" s="948"/>
      <c r="L11" s="949"/>
      <c r="M11" s="950" t="s">
        <v>78</v>
      </c>
      <c r="N11" s="951"/>
      <c r="O11" s="951"/>
      <c r="P11" s="951"/>
      <c r="Q11" s="951"/>
      <c r="R11" s="952"/>
      <c r="S11" s="216"/>
      <c r="T11" s="247"/>
      <c r="U11" s="252"/>
      <c r="V11" s="252"/>
      <c r="W11" s="216"/>
      <c r="X11" s="253"/>
      <c r="Y11" s="249"/>
      <c r="Z11" s="254"/>
      <c r="AA11" s="254"/>
      <c r="AB11" s="210"/>
      <c r="AC11" s="210"/>
      <c r="AD11" s="210"/>
      <c r="AE11" s="210"/>
      <c r="AF11" s="210"/>
      <c r="AG11" s="210"/>
      <c r="AH11" s="210"/>
      <c r="AI11" s="210"/>
      <c r="AJ11" s="210"/>
    </row>
    <row r="12" spans="1:36" ht="15.5" x14ac:dyDescent="0.45">
      <c r="A12" s="216"/>
      <c r="B12" s="255"/>
      <c r="C12" s="256" t="s">
        <v>22</v>
      </c>
      <c r="D12" s="256" t="s">
        <v>23</v>
      </c>
      <c r="E12" s="257" t="s">
        <v>24</v>
      </c>
      <c r="F12" s="256"/>
      <c r="G12" s="258" t="s">
        <v>25</v>
      </c>
      <c r="H12" s="256"/>
      <c r="I12" s="259" t="s">
        <v>26</v>
      </c>
      <c r="J12" s="259"/>
      <c r="K12" s="257" t="s">
        <v>27</v>
      </c>
      <c r="L12" s="260"/>
      <c r="M12" s="261" t="s">
        <v>24</v>
      </c>
      <c r="N12" s="256"/>
      <c r="O12" s="258" t="s">
        <v>25</v>
      </c>
      <c r="P12" s="256"/>
      <c r="Q12" s="262" t="s">
        <v>27</v>
      </c>
      <c r="R12" s="263"/>
      <c r="S12" s="204" t="s">
        <v>18</v>
      </c>
      <c r="T12" s="247">
        <v>5000</v>
      </c>
      <c r="U12" s="252">
        <v>0</v>
      </c>
      <c r="V12" s="252">
        <v>0.15</v>
      </c>
      <c r="W12" s="216"/>
      <c r="X12" s="204"/>
      <c r="Y12" s="249" t="s">
        <v>79</v>
      </c>
      <c r="Z12" s="254"/>
      <c r="AA12" s="254"/>
      <c r="AB12" s="216"/>
      <c r="AC12" s="216"/>
      <c r="AD12" s="216"/>
      <c r="AE12" s="210"/>
      <c r="AF12" s="210"/>
      <c r="AG12" s="210"/>
      <c r="AH12" s="210"/>
      <c r="AI12" s="210"/>
      <c r="AJ12" s="210"/>
    </row>
    <row r="13" spans="1:36" ht="16" thickBot="1" x14ac:dyDescent="0.5">
      <c r="A13" s="216"/>
      <c r="B13" s="264"/>
      <c r="C13" s="265"/>
      <c r="D13" s="265"/>
      <c r="E13" s="265"/>
      <c r="F13" s="265"/>
      <c r="G13" s="265"/>
      <c r="H13" s="265"/>
      <c r="I13" s="265"/>
      <c r="J13" s="265"/>
      <c r="K13" s="265"/>
      <c r="L13" s="265"/>
      <c r="M13" s="266"/>
      <c r="N13" s="265"/>
      <c r="O13" s="265"/>
      <c r="P13" s="265"/>
      <c r="Q13" s="265"/>
      <c r="R13" s="267"/>
      <c r="S13" s="216"/>
      <c r="T13" s="247"/>
      <c r="U13" s="252"/>
      <c r="V13" s="252"/>
      <c r="W13" s="216"/>
      <c r="X13" s="210"/>
      <c r="Y13" s="249"/>
      <c r="Z13" s="254"/>
      <c r="AA13" s="254"/>
      <c r="AB13" s="210"/>
      <c r="AC13" s="210"/>
      <c r="AD13" s="210"/>
      <c r="AE13" s="210"/>
      <c r="AF13" s="210"/>
      <c r="AG13" s="210"/>
      <c r="AH13" s="210"/>
      <c r="AI13" s="210"/>
      <c r="AJ13" s="210"/>
    </row>
    <row r="14" spans="1:36" ht="15.5" x14ac:dyDescent="0.45">
      <c r="A14" s="216"/>
      <c r="B14" s="268"/>
      <c r="C14" s="269"/>
      <c r="D14" s="269"/>
      <c r="E14" s="269"/>
      <c r="F14" s="269"/>
      <c r="G14" s="269"/>
      <c r="H14" s="269"/>
      <c r="I14" s="269"/>
      <c r="J14" s="269"/>
      <c r="K14" s="269"/>
      <c r="L14" s="270"/>
      <c r="M14" s="269"/>
      <c r="N14" s="269"/>
      <c r="O14" s="269"/>
      <c r="P14" s="269"/>
      <c r="Q14" s="269"/>
      <c r="R14" s="270"/>
      <c r="S14" s="216"/>
      <c r="T14" s="271" t="s">
        <v>44</v>
      </c>
      <c r="U14" s="252">
        <v>0.2868</v>
      </c>
      <c r="V14" s="248"/>
      <c r="W14" s="216"/>
      <c r="X14" s="210"/>
      <c r="Y14" s="272"/>
      <c r="Z14" s="254"/>
      <c r="AA14" s="249"/>
      <c r="AB14" s="210"/>
      <c r="AC14" s="210"/>
      <c r="AD14" s="210"/>
      <c r="AE14" s="210"/>
      <c r="AF14" s="210"/>
      <c r="AG14" s="210"/>
      <c r="AH14" s="210"/>
      <c r="AI14" s="210"/>
      <c r="AJ14" s="210"/>
    </row>
    <row r="15" spans="1:36" ht="15.5" x14ac:dyDescent="0.35">
      <c r="A15" s="216"/>
      <c r="B15" s="273"/>
      <c r="C15" s="274"/>
      <c r="D15" s="275" t="s">
        <v>80</v>
      </c>
      <c r="E15" s="276">
        <v>51772.240000000005</v>
      </c>
      <c r="F15" s="276"/>
      <c r="G15" s="276">
        <f t="shared" ref="G15:G64" si="0">IF($E15&gt;$T$12,($E15-$T$12)*V$12,"ERROR")</f>
        <v>7015.8360000000002</v>
      </c>
      <c r="H15" s="276"/>
      <c r="I15" s="276">
        <f t="shared" ref="I15:I64" si="1">$E15*$U$14</f>
        <v>14848.278432000001</v>
      </c>
      <c r="J15" s="276"/>
      <c r="K15" s="276">
        <f t="shared" ref="K15:K64" si="2">E15+ROUND(G15,0)+ROUND(I15,0)</f>
        <v>73636.240000000005</v>
      </c>
      <c r="L15" s="277"/>
      <c r="M15" s="276">
        <f t="shared" ref="M15:M64" si="3">E15</f>
        <v>51772.240000000005</v>
      </c>
      <c r="N15" s="276"/>
      <c r="O15" s="276">
        <f>IF($M15&gt;$T$12,($M15-$T$12)*$V$12,"ERROR")</f>
        <v>7015.8360000000002</v>
      </c>
      <c r="P15" s="276"/>
      <c r="Q15" s="276">
        <f t="shared" ref="Q15:Q65" si="4">SUM(M15:O15)</f>
        <v>58788.076000000008</v>
      </c>
      <c r="R15" s="278"/>
      <c r="S15" s="216"/>
      <c r="T15" s="279"/>
      <c r="U15" s="280"/>
      <c r="V15" s="216"/>
      <c r="W15" s="279"/>
      <c r="X15" s="210"/>
      <c r="Y15" s="210"/>
      <c r="Z15" s="281"/>
      <c r="AA15" s="210"/>
      <c r="AB15" s="210"/>
      <c r="AC15" s="210"/>
      <c r="AD15" s="210"/>
      <c r="AE15" s="210"/>
      <c r="AF15" s="210"/>
      <c r="AG15" s="210"/>
      <c r="AH15" s="210"/>
      <c r="AI15" s="210"/>
      <c r="AJ15" s="210"/>
    </row>
    <row r="16" spans="1:36" ht="15.5" x14ac:dyDescent="0.35">
      <c r="A16" s="216"/>
      <c r="B16" s="282"/>
      <c r="C16" s="283"/>
      <c r="D16" s="275" t="s">
        <v>81</v>
      </c>
      <c r="E16" s="276">
        <v>53068.08</v>
      </c>
      <c r="F16" s="276"/>
      <c r="G16" s="276">
        <f t="shared" si="0"/>
        <v>7210.2120000000004</v>
      </c>
      <c r="H16" s="276"/>
      <c r="I16" s="276">
        <f t="shared" si="1"/>
        <v>15219.925344000001</v>
      </c>
      <c r="J16" s="276"/>
      <c r="K16" s="276">
        <f t="shared" si="2"/>
        <v>75498.080000000002</v>
      </c>
      <c r="L16" s="277"/>
      <c r="M16" s="276">
        <f t="shared" si="3"/>
        <v>53068.08</v>
      </c>
      <c r="N16" s="276"/>
      <c r="O16" s="276">
        <f t="shared" ref="O16:O65" si="5">IF($M16&gt;$T$12,($M16-$T$12)*$V$12,"ERROR")</f>
        <v>7210.2120000000004</v>
      </c>
      <c r="P16" s="276"/>
      <c r="Q16" s="276">
        <f t="shared" si="4"/>
        <v>60278.292000000001</v>
      </c>
      <c r="R16" s="278"/>
      <c r="S16" s="216"/>
      <c r="T16" s="284"/>
      <c r="U16" s="280"/>
      <c r="V16" s="216"/>
      <c r="W16" s="279"/>
      <c r="X16" s="210"/>
      <c r="Y16" s="210"/>
      <c r="Z16" s="281"/>
      <c r="AA16" s="210"/>
      <c r="AB16" s="210"/>
      <c r="AC16" s="210"/>
      <c r="AD16" s="210"/>
      <c r="AE16" s="210"/>
      <c r="AF16" s="210"/>
      <c r="AG16" s="210"/>
      <c r="AH16" s="210"/>
      <c r="AI16" s="210"/>
      <c r="AJ16" s="210"/>
    </row>
    <row r="17" spans="1:36" ht="15.5" x14ac:dyDescent="0.35">
      <c r="A17" s="216"/>
      <c r="B17" s="282"/>
      <c r="C17" s="283"/>
      <c r="D17" s="275" t="s">
        <v>82</v>
      </c>
      <c r="E17" s="276">
        <v>54393.04</v>
      </c>
      <c r="F17" s="276"/>
      <c r="G17" s="276">
        <f t="shared" si="0"/>
        <v>7408.9560000000001</v>
      </c>
      <c r="H17" s="276"/>
      <c r="I17" s="276">
        <f t="shared" si="1"/>
        <v>15599.923871999999</v>
      </c>
      <c r="J17" s="276"/>
      <c r="K17" s="276">
        <f t="shared" si="2"/>
        <v>77402.040000000008</v>
      </c>
      <c r="L17" s="277"/>
      <c r="M17" s="276">
        <f t="shared" si="3"/>
        <v>54393.04</v>
      </c>
      <c r="N17" s="276"/>
      <c r="O17" s="276">
        <f t="shared" si="5"/>
        <v>7408.9560000000001</v>
      </c>
      <c r="P17" s="276"/>
      <c r="Q17" s="276">
        <f t="shared" si="4"/>
        <v>61801.995999999999</v>
      </c>
      <c r="R17" s="278"/>
      <c r="S17" s="216"/>
      <c r="T17" s="284"/>
      <c r="U17" s="280"/>
      <c r="V17" s="216"/>
      <c r="W17" s="279"/>
      <c r="X17" s="210"/>
      <c r="Y17" s="210"/>
      <c r="Z17" s="281"/>
      <c r="AA17" s="210"/>
      <c r="AB17" s="210"/>
      <c r="AC17" s="210"/>
      <c r="AD17" s="210"/>
      <c r="AE17" s="210"/>
      <c r="AF17" s="210"/>
      <c r="AG17" s="210"/>
      <c r="AH17" s="210"/>
      <c r="AI17" s="210"/>
      <c r="AJ17" s="210"/>
    </row>
    <row r="18" spans="1:36" ht="15.5" x14ac:dyDescent="0.35">
      <c r="A18" s="216"/>
      <c r="B18" s="282"/>
      <c r="C18" s="283"/>
      <c r="D18" s="275" t="s">
        <v>83</v>
      </c>
      <c r="E18" s="276">
        <v>55746.080000000002</v>
      </c>
      <c r="F18" s="276"/>
      <c r="G18" s="276">
        <f t="shared" si="0"/>
        <v>7611.9120000000003</v>
      </c>
      <c r="H18" s="276"/>
      <c r="I18" s="276">
        <f t="shared" si="1"/>
        <v>15987.975744000001</v>
      </c>
      <c r="J18" s="276"/>
      <c r="K18" s="276">
        <f t="shared" si="2"/>
        <v>79346.080000000002</v>
      </c>
      <c r="L18" s="277"/>
      <c r="M18" s="276">
        <f t="shared" si="3"/>
        <v>55746.080000000002</v>
      </c>
      <c r="N18" s="276"/>
      <c r="O18" s="276">
        <f t="shared" si="5"/>
        <v>7611.9120000000003</v>
      </c>
      <c r="P18" s="276"/>
      <c r="Q18" s="276">
        <f t="shared" si="4"/>
        <v>63357.991999999998</v>
      </c>
      <c r="R18" s="278"/>
      <c r="S18" s="216"/>
      <c r="T18" s="284"/>
      <c r="U18" s="280"/>
      <c r="V18" s="210"/>
      <c r="W18" s="279"/>
      <c r="X18" s="210"/>
      <c r="Y18" s="210"/>
      <c r="Z18" s="281"/>
      <c r="AA18" s="210"/>
      <c r="AB18" s="210"/>
      <c r="AC18" s="210"/>
      <c r="AD18" s="210"/>
      <c r="AE18" s="210"/>
      <c r="AF18" s="210"/>
      <c r="AG18" s="210"/>
      <c r="AH18" s="210"/>
      <c r="AI18" s="210"/>
      <c r="AJ18" s="210"/>
    </row>
    <row r="19" spans="1:36" ht="15.5" x14ac:dyDescent="0.35">
      <c r="A19" s="216"/>
      <c r="B19" s="282"/>
      <c r="C19" s="283"/>
      <c r="D19" s="275" t="s">
        <v>84</v>
      </c>
      <c r="E19" s="276">
        <v>57136.560000000005</v>
      </c>
      <c r="F19" s="276"/>
      <c r="G19" s="276">
        <f t="shared" si="0"/>
        <v>7820.4840000000004</v>
      </c>
      <c r="H19" s="276"/>
      <c r="I19" s="276">
        <f t="shared" si="1"/>
        <v>16386.765408000003</v>
      </c>
      <c r="J19" s="276"/>
      <c r="K19" s="276">
        <f t="shared" si="2"/>
        <v>81343.56</v>
      </c>
      <c r="L19" s="277"/>
      <c r="M19" s="276">
        <f t="shared" si="3"/>
        <v>57136.560000000005</v>
      </c>
      <c r="N19" s="276"/>
      <c r="O19" s="276">
        <f t="shared" si="5"/>
        <v>7820.4840000000004</v>
      </c>
      <c r="P19" s="276"/>
      <c r="Q19" s="276">
        <f t="shared" si="4"/>
        <v>64957.044000000009</v>
      </c>
      <c r="R19" s="278"/>
      <c r="S19" s="285"/>
      <c r="T19" s="284"/>
      <c r="U19" s="280"/>
      <c r="V19" s="210"/>
      <c r="W19" s="279"/>
      <c r="X19" s="210"/>
      <c r="Y19" s="210"/>
      <c r="Z19" s="281"/>
      <c r="AA19" s="210"/>
      <c r="AB19" s="210"/>
      <c r="AC19" s="210"/>
      <c r="AD19" s="210"/>
      <c r="AE19" s="210"/>
      <c r="AF19" s="210"/>
      <c r="AG19" s="210"/>
      <c r="AH19" s="210"/>
      <c r="AI19" s="210"/>
      <c r="AJ19" s="210"/>
    </row>
    <row r="20" spans="1:36" ht="15.5" x14ac:dyDescent="0.35">
      <c r="A20" s="216"/>
      <c r="B20" s="282"/>
      <c r="C20" s="283"/>
      <c r="D20" s="275" t="s">
        <v>85</v>
      </c>
      <c r="E20" s="276">
        <v>58568.639999999999</v>
      </c>
      <c r="F20" s="276"/>
      <c r="G20" s="276">
        <f t="shared" si="0"/>
        <v>8035.2959999999994</v>
      </c>
      <c r="H20" s="276"/>
      <c r="I20" s="276">
        <f t="shared" si="1"/>
        <v>16797.485951999999</v>
      </c>
      <c r="J20" s="276"/>
      <c r="K20" s="276">
        <f t="shared" si="2"/>
        <v>83400.639999999999</v>
      </c>
      <c r="L20" s="277"/>
      <c r="M20" s="276">
        <f t="shared" si="3"/>
        <v>58568.639999999999</v>
      </c>
      <c r="N20" s="276"/>
      <c r="O20" s="276">
        <f t="shared" si="5"/>
        <v>8035.2959999999994</v>
      </c>
      <c r="P20" s="276"/>
      <c r="Q20" s="276">
        <f t="shared" si="4"/>
        <v>66603.936000000002</v>
      </c>
      <c r="R20" s="278"/>
      <c r="S20" s="285"/>
      <c r="T20" s="284"/>
      <c r="U20" s="280"/>
      <c r="V20" s="210"/>
      <c r="W20" s="279"/>
      <c r="X20" s="210"/>
      <c r="Y20" s="210"/>
      <c r="Z20" s="281"/>
      <c r="AA20" s="210"/>
      <c r="AB20" s="210"/>
      <c r="AC20" s="210"/>
      <c r="AD20" s="210"/>
      <c r="AE20" s="210"/>
      <c r="AF20" s="210"/>
      <c r="AG20" s="210"/>
      <c r="AH20" s="210"/>
      <c r="AI20" s="210"/>
      <c r="AJ20" s="210"/>
    </row>
    <row r="21" spans="1:36" ht="15.5" x14ac:dyDescent="0.35">
      <c r="A21" s="216"/>
      <c r="B21" s="286"/>
      <c r="C21" s="283"/>
      <c r="D21" s="275" t="s">
        <v>86</v>
      </c>
      <c r="E21" s="276">
        <v>60144.240000000005</v>
      </c>
      <c r="F21" s="276"/>
      <c r="G21" s="276">
        <f t="shared" si="0"/>
        <v>8271.6360000000004</v>
      </c>
      <c r="H21" s="276"/>
      <c r="I21" s="276">
        <f t="shared" si="1"/>
        <v>17249.368032000002</v>
      </c>
      <c r="J21" s="276"/>
      <c r="K21" s="276">
        <f t="shared" si="2"/>
        <v>85665.24</v>
      </c>
      <c r="L21" s="277"/>
      <c r="M21" s="276">
        <f t="shared" si="3"/>
        <v>60144.240000000005</v>
      </c>
      <c r="N21" s="276"/>
      <c r="O21" s="276">
        <f t="shared" si="5"/>
        <v>8271.6360000000004</v>
      </c>
      <c r="P21" s="276"/>
      <c r="Q21" s="276">
        <f t="shared" si="4"/>
        <v>68415.876000000004</v>
      </c>
      <c r="R21" s="278"/>
      <c r="S21" s="285"/>
      <c r="T21" s="284"/>
      <c r="U21" s="280"/>
      <c r="V21" s="210"/>
      <c r="W21" s="279"/>
      <c r="X21" s="210"/>
      <c r="Y21" s="210"/>
      <c r="Z21" s="281"/>
      <c r="AA21" s="210"/>
      <c r="AB21" s="210"/>
      <c r="AC21" s="210"/>
      <c r="AD21" s="210"/>
      <c r="AE21" s="210"/>
      <c r="AF21" s="210"/>
      <c r="AG21" s="210"/>
      <c r="AH21" s="210"/>
      <c r="AI21" s="210"/>
      <c r="AJ21" s="210"/>
    </row>
    <row r="22" spans="1:36" ht="15.5" x14ac:dyDescent="0.35">
      <c r="A22" s="216"/>
      <c r="B22" s="282"/>
      <c r="C22" s="283"/>
      <c r="D22" s="275" t="s">
        <v>87</v>
      </c>
      <c r="E22" s="276">
        <v>61533.68</v>
      </c>
      <c r="F22" s="276"/>
      <c r="G22" s="276">
        <f t="shared" si="0"/>
        <v>8480.0519999999997</v>
      </c>
      <c r="H22" s="276"/>
      <c r="I22" s="276">
        <f t="shared" si="1"/>
        <v>17647.859423999998</v>
      </c>
      <c r="J22" s="276"/>
      <c r="K22" s="276">
        <f t="shared" si="2"/>
        <v>87661.68</v>
      </c>
      <c r="L22" s="277"/>
      <c r="M22" s="276">
        <f t="shared" si="3"/>
        <v>61533.68</v>
      </c>
      <c r="N22" s="276"/>
      <c r="O22" s="276">
        <f t="shared" si="5"/>
        <v>8480.0519999999997</v>
      </c>
      <c r="P22" s="276"/>
      <c r="Q22" s="276">
        <f t="shared" si="4"/>
        <v>70013.732000000004</v>
      </c>
      <c r="R22" s="278"/>
      <c r="S22" s="285"/>
      <c r="T22" s="284"/>
      <c r="U22" s="280"/>
      <c r="V22" s="210"/>
      <c r="W22" s="279"/>
      <c r="X22" s="210"/>
      <c r="Y22" s="210"/>
      <c r="Z22" s="281"/>
      <c r="AA22" s="210"/>
      <c r="AB22" s="210"/>
      <c r="AC22" s="210"/>
      <c r="AD22" s="210"/>
      <c r="AE22" s="210"/>
      <c r="AF22" s="210"/>
      <c r="AG22" s="210"/>
      <c r="AH22" s="210"/>
      <c r="AI22" s="210"/>
      <c r="AJ22" s="210"/>
    </row>
    <row r="23" spans="1:36" ht="15.5" x14ac:dyDescent="0.35">
      <c r="A23" s="216"/>
      <c r="B23" s="282"/>
      <c r="C23" s="283"/>
      <c r="D23" s="275" t="s">
        <v>88</v>
      </c>
      <c r="E23" s="276">
        <v>63069.760000000002</v>
      </c>
      <c r="F23" s="276"/>
      <c r="G23" s="276">
        <f t="shared" si="0"/>
        <v>8710.4639999999999</v>
      </c>
      <c r="H23" s="276"/>
      <c r="I23" s="276">
        <f t="shared" si="1"/>
        <v>18088.407168000002</v>
      </c>
      <c r="J23" s="276"/>
      <c r="K23" s="276">
        <f t="shared" si="2"/>
        <v>89867.760000000009</v>
      </c>
      <c r="L23" s="277"/>
      <c r="M23" s="276">
        <f t="shared" si="3"/>
        <v>63069.760000000002</v>
      </c>
      <c r="N23" s="276"/>
      <c r="O23" s="276">
        <f t="shared" si="5"/>
        <v>8710.4639999999999</v>
      </c>
      <c r="P23" s="276"/>
      <c r="Q23" s="276">
        <f t="shared" si="4"/>
        <v>71780.224000000002</v>
      </c>
      <c r="R23" s="278"/>
      <c r="S23" s="285"/>
      <c r="T23" s="284"/>
      <c r="U23" s="280"/>
      <c r="V23" s="210"/>
      <c r="W23" s="279"/>
      <c r="X23" s="210"/>
      <c r="Y23" s="210"/>
      <c r="Z23" s="281"/>
      <c r="AA23" s="210"/>
      <c r="AB23" s="210"/>
      <c r="AC23" s="210"/>
      <c r="AD23" s="210"/>
      <c r="AE23" s="210"/>
      <c r="AF23" s="210"/>
      <c r="AG23" s="210"/>
      <c r="AH23" s="210"/>
      <c r="AI23" s="210"/>
      <c r="AJ23" s="210"/>
    </row>
    <row r="24" spans="1:36" ht="15.5" x14ac:dyDescent="0.35">
      <c r="A24" s="216"/>
      <c r="B24" s="282"/>
      <c r="C24" s="283"/>
      <c r="D24" s="275" t="s">
        <v>89</v>
      </c>
      <c r="E24" s="276">
        <v>64690.080000000002</v>
      </c>
      <c r="F24" s="276"/>
      <c r="G24" s="276">
        <f t="shared" si="0"/>
        <v>8953.5120000000006</v>
      </c>
      <c r="H24" s="276"/>
      <c r="I24" s="276">
        <f t="shared" si="1"/>
        <v>18553.114944000001</v>
      </c>
      <c r="J24" s="276"/>
      <c r="K24" s="276">
        <f t="shared" si="2"/>
        <v>92197.08</v>
      </c>
      <c r="L24" s="277"/>
      <c r="M24" s="276">
        <f t="shared" si="3"/>
        <v>64690.080000000002</v>
      </c>
      <c r="N24" s="276"/>
      <c r="O24" s="276">
        <f t="shared" si="5"/>
        <v>8953.5120000000006</v>
      </c>
      <c r="P24" s="276"/>
      <c r="Q24" s="276">
        <f t="shared" si="4"/>
        <v>73643.592000000004</v>
      </c>
      <c r="R24" s="278"/>
      <c r="S24" s="285"/>
      <c r="T24" s="284"/>
      <c r="U24" s="280"/>
      <c r="V24" s="210"/>
      <c r="W24" s="279"/>
      <c r="X24" s="210"/>
      <c r="Y24" s="210"/>
      <c r="Z24" s="281"/>
      <c r="AA24" s="210"/>
      <c r="AB24" s="210"/>
      <c r="AC24" s="210"/>
      <c r="AD24" s="210"/>
      <c r="AE24" s="210"/>
      <c r="AF24" s="210"/>
      <c r="AG24" s="210"/>
      <c r="AH24" s="210"/>
      <c r="AI24" s="210"/>
      <c r="AJ24" s="210"/>
    </row>
    <row r="25" spans="1:36" ht="15.5" x14ac:dyDescent="0.35">
      <c r="A25" s="216"/>
      <c r="B25" s="282"/>
      <c r="C25" s="283"/>
      <c r="D25" s="275" t="s">
        <v>90</v>
      </c>
      <c r="E25" s="276">
        <v>66367.600000000006</v>
      </c>
      <c r="F25" s="276"/>
      <c r="G25" s="276">
        <f t="shared" si="0"/>
        <v>9205.1400000000012</v>
      </c>
      <c r="H25" s="276"/>
      <c r="I25" s="276">
        <f t="shared" si="1"/>
        <v>19034.22768</v>
      </c>
      <c r="J25" s="276"/>
      <c r="K25" s="276">
        <f t="shared" si="2"/>
        <v>94606.6</v>
      </c>
      <c r="L25" s="277"/>
      <c r="M25" s="276">
        <f t="shared" si="3"/>
        <v>66367.600000000006</v>
      </c>
      <c r="N25" s="276"/>
      <c r="O25" s="276">
        <f t="shared" si="5"/>
        <v>9205.1400000000012</v>
      </c>
      <c r="P25" s="276"/>
      <c r="Q25" s="276">
        <f t="shared" si="4"/>
        <v>75572.740000000005</v>
      </c>
      <c r="R25" s="278"/>
      <c r="S25" s="285"/>
      <c r="T25" s="284"/>
      <c r="U25" s="280"/>
      <c r="V25" s="216"/>
      <c r="W25" s="279"/>
      <c r="X25" s="210"/>
      <c r="Y25" s="210"/>
      <c r="Z25" s="281"/>
      <c r="AA25" s="210"/>
      <c r="AB25" s="210"/>
      <c r="AC25" s="210"/>
      <c r="AD25" s="210"/>
      <c r="AE25" s="210"/>
      <c r="AF25" s="210"/>
      <c r="AG25" s="210"/>
      <c r="AH25" s="210"/>
      <c r="AI25" s="210"/>
      <c r="AJ25" s="210"/>
    </row>
    <row r="26" spans="1:36" ht="15.5" x14ac:dyDescent="0.35">
      <c r="A26" s="216"/>
      <c r="B26" s="282"/>
      <c r="C26" s="283"/>
      <c r="D26" s="275" t="s">
        <v>91</v>
      </c>
      <c r="E26" s="276">
        <v>67897.440000000002</v>
      </c>
      <c r="F26" s="276"/>
      <c r="G26" s="276">
        <f t="shared" si="0"/>
        <v>9434.616</v>
      </c>
      <c r="H26" s="276"/>
      <c r="I26" s="276">
        <f t="shared" si="1"/>
        <v>19472.985791999999</v>
      </c>
      <c r="J26" s="276"/>
      <c r="K26" s="276">
        <f t="shared" si="2"/>
        <v>96805.440000000002</v>
      </c>
      <c r="L26" s="277"/>
      <c r="M26" s="276">
        <f t="shared" si="3"/>
        <v>67897.440000000002</v>
      </c>
      <c r="N26" s="276"/>
      <c r="O26" s="276">
        <f t="shared" si="5"/>
        <v>9434.616</v>
      </c>
      <c r="P26" s="276"/>
      <c r="Q26" s="276">
        <f t="shared" si="4"/>
        <v>77332.055999999997</v>
      </c>
      <c r="R26" s="278"/>
      <c r="S26" s="285"/>
      <c r="T26" s="284"/>
      <c r="U26" s="280"/>
      <c r="V26" s="216"/>
      <c r="W26" s="279"/>
      <c r="X26" s="210"/>
      <c r="Y26" s="210"/>
      <c r="Z26" s="281"/>
      <c r="AA26" s="210"/>
      <c r="AB26" s="210"/>
      <c r="AC26" s="210"/>
      <c r="AD26" s="210"/>
      <c r="AE26" s="210"/>
      <c r="AF26" s="210"/>
      <c r="AG26" s="210"/>
      <c r="AH26" s="210"/>
      <c r="AI26" s="210"/>
      <c r="AJ26" s="210"/>
    </row>
    <row r="27" spans="1:36" ht="15.5" x14ac:dyDescent="0.35">
      <c r="A27" s="216"/>
      <c r="B27" s="286"/>
      <c r="C27" s="283"/>
      <c r="D27" s="275" t="s">
        <v>92</v>
      </c>
      <c r="E27" s="276">
        <v>69595.760000000009</v>
      </c>
      <c r="F27" s="276"/>
      <c r="G27" s="276">
        <f t="shared" si="0"/>
        <v>9689.3640000000014</v>
      </c>
      <c r="H27" s="276"/>
      <c r="I27" s="276">
        <f t="shared" si="1"/>
        <v>19960.063968000002</v>
      </c>
      <c r="J27" s="276"/>
      <c r="K27" s="276">
        <f t="shared" si="2"/>
        <v>99244.760000000009</v>
      </c>
      <c r="L27" s="277"/>
      <c r="M27" s="276">
        <f t="shared" si="3"/>
        <v>69595.760000000009</v>
      </c>
      <c r="N27" s="276"/>
      <c r="O27" s="276">
        <f t="shared" si="5"/>
        <v>9689.3640000000014</v>
      </c>
      <c r="P27" s="276"/>
      <c r="Q27" s="276">
        <f t="shared" si="4"/>
        <v>79285.124000000011</v>
      </c>
      <c r="R27" s="278"/>
      <c r="S27" s="285"/>
      <c r="T27" s="284"/>
      <c r="U27" s="280"/>
      <c r="V27" s="216"/>
      <c r="W27" s="279"/>
      <c r="X27" s="210"/>
      <c r="Y27" s="210"/>
      <c r="Z27" s="281"/>
      <c r="AA27" s="210"/>
      <c r="AB27" s="210"/>
      <c r="AC27" s="210"/>
      <c r="AD27" s="210"/>
      <c r="AE27" s="210"/>
      <c r="AF27" s="210"/>
      <c r="AG27" s="210"/>
      <c r="AH27" s="210"/>
      <c r="AI27" s="210"/>
      <c r="AJ27" s="210"/>
    </row>
    <row r="28" spans="1:36" ht="15.5" x14ac:dyDescent="0.35">
      <c r="A28" s="216"/>
      <c r="B28" s="287"/>
      <c r="C28" s="283"/>
      <c r="D28" s="275" t="s">
        <v>93</v>
      </c>
      <c r="E28" s="276">
        <v>71329.440000000002</v>
      </c>
      <c r="F28" s="276"/>
      <c r="G28" s="276">
        <f t="shared" si="0"/>
        <v>9949.4159999999993</v>
      </c>
      <c r="H28" s="276"/>
      <c r="I28" s="276">
        <f t="shared" si="1"/>
        <v>20457.283392000001</v>
      </c>
      <c r="J28" s="276"/>
      <c r="K28" s="276">
        <f t="shared" si="2"/>
        <v>101735.44</v>
      </c>
      <c r="L28" s="277"/>
      <c r="M28" s="276">
        <f t="shared" si="3"/>
        <v>71329.440000000002</v>
      </c>
      <c r="N28" s="276"/>
      <c r="O28" s="276">
        <f t="shared" si="5"/>
        <v>9949.4159999999993</v>
      </c>
      <c r="P28" s="276"/>
      <c r="Q28" s="276">
        <f t="shared" si="4"/>
        <v>81278.856</v>
      </c>
      <c r="R28" s="278"/>
      <c r="S28" s="285"/>
      <c r="T28" s="284"/>
      <c r="U28" s="280"/>
      <c r="V28" s="216"/>
      <c r="W28" s="279"/>
      <c r="X28" s="210"/>
      <c r="Y28" s="210"/>
      <c r="Z28" s="281"/>
      <c r="AA28" s="210"/>
      <c r="AB28" s="210"/>
      <c r="AC28" s="210"/>
      <c r="AD28" s="210"/>
      <c r="AE28" s="210"/>
      <c r="AF28" s="210"/>
      <c r="AG28" s="210"/>
      <c r="AH28" s="210"/>
      <c r="AI28" s="210"/>
      <c r="AJ28" s="210"/>
    </row>
    <row r="29" spans="1:36" ht="15.5" x14ac:dyDescent="0.35">
      <c r="A29" s="216"/>
      <c r="B29" s="288"/>
      <c r="C29" s="283"/>
      <c r="D29" s="275" t="s">
        <v>94</v>
      </c>
      <c r="E29" s="276">
        <v>73104.72</v>
      </c>
      <c r="F29" s="276"/>
      <c r="G29" s="276">
        <f t="shared" si="0"/>
        <v>10215.708000000001</v>
      </c>
      <c r="H29" s="276"/>
      <c r="I29" s="276">
        <f t="shared" si="1"/>
        <v>20966.433696</v>
      </c>
      <c r="J29" s="276"/>
      <c r="K29" s="276">
        <f t="shared" si="2"/>
        <v>104286.72</v>
      </c>
      <c r="L29" s="277"/>
      <c r="M29" s="276">
        <f t="shared" si="3"/>
        <v>73104.72</v>
      </c>
      <c r="N29" s="276"/>
      <c r="O29" s="276">
        <f t="shared" si="5"/>
        <v>10215.708000000001</v>
      </c>
      <c r="P29" s="276"/>
      <c r="Q29" s="276">
        <f t="shared" si="4"/>
        <v>83320.428</v>
      </c>
      <c r="R29" s="278"/>
      <c r="S29" s="285"/>
      <c r="T29" s="284"/>
      <c r="U29" s="280"/>
      <c r="V29" s="216"/>
      <c r="W29" s="279"/>
      <c r="X29" s="210"/>
      <c r="Y29" s="210"/>
      <c r="Z29" s="281"/>
      <c r="AA29" s="210"/>
      <c r="AB29" s="210"/>
      <c r="AC29" s="210"/>
      <c r="AD29" s="210"/>
      <c r="AE29" s="210"/>
      <c r="AF29" s="210"/>
      <c r="AG29" s="210"/>
      <c r="AH29" s="210"/>
      <c r="AI29" s="210"/>
      <c r="AJ29" s="210"/>
    </row>
    <row r="30" spans="1:36" ht="15.5" x14ac:dyDescent="0.35">
      <c r="A30" s="216"/>
      <c r="B30" s="288"/>
      <c r="C30" s="283"/>
      <c r="D30" s="275" t="s">
        <v>95</v>
      </c>
      <c r="E30" s="276">
        <v>75048.479999999996</v>
      </c>
      <c r="F30" s="276"/>
      <c r="G30" s="276">
        <f t="shared" si="0"/>
        <v>10507.271999999999</v>
      </c>
      <c r="H30" s="276"/>
      <c r="I30" s="276">
        <f t="shared" si="1"/>
        <v>21523.904063999998</v>
      </c>
      <c r="J30" s="276"/>
      <c r="K30" s="276">
        <f t="shared" si="2"/>
        <v>107079.48</v>
      </c>
      <c r="L30" s="277"/>
      <c r="M30" s="276">
        <f t="shared" si="3"/>
        <v>75048.479999999996</v>
      </c>
      <c r="N30" s="276"/>
      <c r="O30" s="276">
        <f t="shared" si="5"/>
        <v>10507.271999999999</v>
      </c>
      <c r="P30" s="276"/>
      <c r="Q30" s="276">
        <f t="shared" si="4"/>
        <v>85555.751999999993</v>
      </c>
      <c r="R30" s="278"/>
      <c r="S30" s="285"/>
      <c r="T30" s="284"/>
      <c r="U30" s="280"/>
      <c r="V30" s="216"/>
      <c r="W30" s="279"/>
      <c r="X30" s="210"/>
      <c r="Y30" s="210"/>
      <c r="Z30" s="281"/>
      <c r="AA30" s="210"/>
      <c r="AB30" s="210"/>
      <c r="AC30" s="210"/>
      <c r="AD30" s="210"/>
      <c r="AE30" s="210"/>
      <c r="AF30" s="210"/>
      <c r="AG30" s="210"/>
      <c r="AH30" s="210"/>
      <c r="AI30" s="210"/>
      <c r="AJ30" s="210"/>
    </row>
    <row r="31" spans="1:36" ht="15.5" x14ac:dyDescent="0.35">
      <c r="A31" s="216"/>
      <c r="B31" s="289"/>
      <c r="C31" s="283"/>
      <c r="D31" s="275" t="s">
        <v>96</v>
      </c>
      <c r="E31" s="276">
        <v>76771.760000000009</v>
      </c>
      <c r="F31" s="276"/>
      <c r="G31" s="276">
        <f t="shared" si="0"/>
        <v>10765.764000000001</v>
      </c>
      <c r="H31" s="276"/>
      <c r="I31" s="276">
        <f t="shared" si="1"/>
        <v>22018.140768000001</v>
      </c>
      <c r="J31" s="276"/>
      <c r="K31" s="276">
        <f t="shared" si="2"/>
        <v>109555.76000000001</v>
      </c>
      <c r="L31" s="277"/>
      <c r="M31" s="276">
        <f t="shared" si="3"/>
        <v>76771.760000000009</v>
      </c>
      <c r="N31" s="276"/>
      <c r="O31" s="276">
        <f t="shared" si="5"/>
        <v>10765.764000000001</v>
      </c>
      <c r="P31" s="276"/>
      <c r="Q31" s="276">
        <f t="shared" si="4"/>
        <v>87537.524000000005</v>
      </c>
      <c r="R31" s="278"/>
      <c r="S31" s="285"/>
      <c r="T31" s="284"/>
      <c r="U31" s="280"/>
      <c r="V31" s="216"/>
      <c r="W31" s="279"/>
      <c r="X31" s="210"/>
      <c r="Y31" s="210"/>
      <c r="Z31" s="281"/>
      <c r="AA31" s="210"/>
      <c r="AB31" s="210"/>
      <c r="AC31" s="210"/>
      <c r="AD31" s="210"/>
      <c r="AE31" s="210"/>
      <c r="AF31" s="210"/>
      <c r="AG31" s="210"/>
      <c r="AH31" s="210"/>
      <c r="AI31" s="210"/>
      <c r="AJ31" s="210"/>
    </row>
    <row r="32" spans="1:36" ht="15.5" x14ac:dyDescent="0.35">
      <c r="A32" s="216"/>
      <c r="B32" s="289"/>
      <c r="C32" s="283"/>
      <c r="D32" s="275" t="s">
        <v>97</v>
      </c>
      <c r="E32" s="276">
        <v>77919.92</v>
      </c>
      <c r="F32" s="276"/>
      <c r="G32" s="276">
        <f t="shared" si="0"/>
        <v>10937.987999999999</v>
      </c>
      <c r="H32" s="276"/>
      <c r="I32" s="276">
        <f t="shared" si="1"/>
        <v>22347.433055999998</v>
      </c>
      <c r="J32" s="276"/>
      <c r="K32" s="276">
        <f t="shared" si="2"/>
        <v>111204.92</v>
      </c>
      <c r="L32" s="277"/>
      <c r="M32" s="276">
        <f t="shared" si="3"/>
        <v>77919.92</v>
      </c>
      <c r="N32" s="276"/>
      <c r="O32" s="276">
        <f t="shared" si="5"/>
        <v>10937.987999999999</v>
      </c>
      <c r="P32" s="276"/>
      <c r="Q32" s="276">
        <f t="shared" si="4"/>
        <v>88857.907999999996</v>
      </c>
      <c r="R32" s="278"/>
      <c r="S32" s="285"/>
      <c r="T32" s="284"/>
      <c r="U32" s="280"/>
      <c r="V32" s="216"/>
      <c r="W32" s="279"/>
      <c r="X32" s="210"/>
      <c r="Y32" s="210"/>
      <c r="Z32" s="281"/>
      <c r="AA32" s="210"/>
      <c r="AB32" s="210"/>
      <c r="AC32" s="210"/>
      <c r="AD32" s="210"/>
      <c r="AE32" s="210"/>
      <c r="AF32" s="210"/>
      <c r="AG32" s="210"/>
      <c r="AH32" s="210"/>
      <c r="AI32" s="210"/>
      <c r="AJ32" s="210"/>
    </row>
    <row r="33" spans="1:36" ht="15.5" x14ac:dyDescent="0.35">
      <c r="A33" s="216"/>
      <c r="B33" s="289"/>
      <c r="C33" s="283"/>
      <c r="D33" s="275" t="s">
        <v>98</v>
      </c>
      <c r="E33" s="276">
        <v>78702</v>
      </c>
      <c r="F33" s="276"/>
      <c r="G33" s="276">
        <f t="shared" si="0"/>
        <v>11055.3</v>
      </c>
      <c r="H33" s="276"/>
      <c r="I33" s="276">
        <f t="shared" si="1"/>
        <v>22571.7336</v>
      </c>
      <c r="J33" s="276"/>
      <c r="K33" s="276">
        <f t="shared" si="2"/>
        <v>112329</v>
      </c>
      <c r="L33" s="277"/>
      <c r="M33" s="276">
        <f t="shared" si="3"/>
        <v>78702</v>
      </c>
      <c r="N33" s="276"/>
      <c r="O33" s="276">
        <f t="shared" si="5"/>
        <v>11055.3</v>
      </c>
      <c r="P33" s="276"/>
      <c r="Q33" s="276">
        <f t="shared" si="4"/>
        <v>89757.3</v>
      </c>
      <c r="R33" s="278"/>
      <c r="S33" s="285"/>
      <c r="T33" s="284"/>
      <c r="U33" s="280"/>
      <c r="V33" s="216"/>
      <c r="W33" s="279"/>
      <c r="X33" s="210"/>
      <c r="Y33" s="210"/>
      <c r="Z33" s="281"/>
      <c r="AA33" s="210"/>
      <c r="AB33" s="210"/>
      <c r="AC33" s="210"/>
      <c r="AD33" s="210"/>
      <c r="AE33" s="210"/>
      <c r="AF33" s="210"/>
      <c r="AG33" s="210"/>
      <c r="AH33" s="210"/>
      <c r="AI33" s="210"/>
      <c r="AJ33" s="210"/>
    </row>
    <row r="34" spans="1:36" ht="15.5" x14ac:dyDescent="0.35">
      <c r="A34" s="216"/>
      <c r="B34" s="289"/>
      <c r="C34" s="283"/>
      <c r="D34" s="275" t="s">
        <v>99</v>
      </c>
      <c r="E34" s="276">
        <v>80654.080000000002</v>
      </c>
      <c r="F34" s="276"/>
      <c r="G34" s="276">
        <f t="shared" si="0"/>
        <v>11348.111999999999</v>
      </c>
      <c r="H34" s="276"/>
      <c r="I34" s="276">
        <f t="shared" si="1"/>
        <v>23131.590144000002</v>
      </c>
      <c r="J34" s="276"/>
      <c r="K34" s="276">
        <f t="shared" si="2"/>
        <v>115134.08</v>
      </c>
      <c r="L34" s="277"/>
      <c r="M34" s="276">
        <f t="shared" si="3"/>
        <v>80654.080000000002</v>
      </c>
      <c r="N34" s="276"/>
      <c r="O34" s="276">
        <f t="shared" si="5"/>
        <v>11348.111999999999</v>
      </c>
      <c r="P34" s="276"/>
      <c r="Q34" s="276">
        <f t="shared" si="4"/>
        <v>92002.191999999995</v>
      </c>
      <c r="R34" s="278"/>
      <c r="S34" s="285"/>
      <c r="T34" s="284"/>
      <c r="U34" s="280"/>
      <c r="V34" s="216"/>
      <c r="W34" s="279"/>
      <c r="X34" s="210"/>
      <c r="Y34" s="210"/>
      <c r="Z34" s="281"/>
      <c r="AA34" s="210"/>
      <c r="AB34" s="210"/>
      <c r="AC34" s="210"/>
      <c r="AD34" s="210"/>
      <c r="AE34" s="210"/>
      <c r="AF34" s="210"/>
      <c r="AG34" s="210"/>
      <c r="AH34" s="210"/>
      <c r="AI34" s="210"/>
      <c r="AJ34" s="210"/>
    </row>
    <row r="35" spans="1:36" ht="15.5" x14ac:dyDescent="0.35">
      <c r="A35" s="216"/>
      <c r="B35" s="289"/>
      <c r="C35" s="283"/>
      <c r="D35" s="275" t="s">
        <v>100</v>
      </c>
      <c r="E35" s="276">
        <v>82654</v>
      </c>
      <c r="F35" s="276"/>
      <c r="G35" s="276">
        <f t="shared" si="0"/>
        <v>11648.1</v>
      </c>
      <c r="H35" s="276"/>
      <c r="I35" s="276">
        <f t="shared" si="1"/>
        <v>23705.1672</v>
      </c>
      <c r="J35" s="276"/>
      <c r="K35" s="276">
        <f t="shared" si="2"/>
        <v>118007</v>
      </c>
      <c r="L35" s="277"/>
      <c r="M35" s="276">
        <f t="shared" si="3"/>
        <v>82654</v>
      </c>
      <c r="N35" s="276"/>
      <c r="O35" s="276">
        <f t="shared" si="5"/>
        <v>11648.1</v>
      </c>
      <c r="P35" s="276"/>
      <c r="Q35" s="276">
        <f t="shared" si="4"/>
        <v>94302.1</v>
      </c>
      <c r="R35" s="278"/>
      <c r="S35" s="285"/>
      <c r="T35" s="284"/>
      <c r="U35" s="280"/>
      <c r="V35" s="216"/>
      <c r="W35" s="279"/>
      <c r="X35" s="210"/>
      <c r="Y35" s="210"/>
      <c r="Z35" s="281"/>
      <c r="AA35" s="210"/>
      <c r="AB35" s="210"/>
      <c r="AC35" s="210"/>
      <c r="AD35" s="210"/>
      <c r="AE35" s="210"/>
      <c r="AF35" s="210"/>
      <c r="AG35" s="210"/>
      <c r="AH35" s="210"/>
      <c r="AI35" s="210"/>
      <c r="AJ35" s="210"/>
    </row>
    <row r="36" spans="1:36" ht="15.5" x14ac:dyDescent="0.35">
      <c r="A36" s="216"/>
      <c r="B36" s="289"/>
      <c r="C36" s="283"/>
      <c r="D36" s="275" t="s">
        <v>101</v>
      </c>
      <c r="E36" s="276">
        <v>83858.320000000007</v>
      </c>
      <c r="F36" s="276"/>
      <c r="G36" s="276">
        <f t="shared" si="0"/>
        <v>11828.748000000001</v>
      </c>
      <c r="H36" s="276"/>
      <c r="I36" s="276">
        <f t="shared" si="1"/>
        <v>24050.566176</v>
      </c>
      <c r="J36" s="276"/>
      <c r="K36" s="276">
        <f t="shared" si="2"/>
        <v>119738.32</v>
      </c>
      <c r="L36" s="277"/>
      <c r="M36" s="276">
        <f t="shared" si="3"/>
        <v>83858.320000000007</v>
      </c>
      <c r="N36" s="276"/>
      <c r="O36" s="276">
        <f t="shared" si="5"/>
        <v>11828.748000000001</v>
      </c>
      <c r="P36" s="276"/>
      <c r="Q36" s="276">
        <f t="shared" si="4"/>
        <v>95687.068000000014</v>
      </c>
      <c r="R36" s="278"/>
      <c r="S36" s="285"/>
      <c r="T36" s="284"/>
      <c r="U36" s="280"/>
      <c r="V36" s="216"/>
      <c r="W36" s="279"/>
      <c r="X36" s="210"/>
      <c r="Y36" s="210"/>
      <c r="Z36" s="281"/>
      <c r="AA36" s="210"/>
      <c r="AB36" s="210"/>
      <c r="AC36" s="210"/>
      <c r="AD36" s="210"/>
      <c r="AE36" s="210"/>
      <c r="AF36" s="210"/>
      <c r="AG36" s="210"/>
      <c r="AH36" s="210"/>
      <c r="AI36" s="210"/>
      <c r="AJ36" s="210"/>
    </row>
    <row r="37" spans="1:36" ht="15.5" x14ac:dyDescent="0.35">
      <c r="A37" s="216"/>
      <c r="B37" s="289"/>
      <c r="C37" s="283"/>
      <c r="D37" s="275" t="s">
        <v>102</v>
      </c>
      <c r="E37" s="276">
        <v>84698.64</v>
      </c>
      <c r="F37" s="276"/>
      <c r="G37" s="276">
        <f t="shared" si="0"/>
        <v>11954.796</v>
      </c>
      <c r="H37" s="276"/>
      <c r="I37" s="276">
        <f t="shared" si="1"/>
        <v>24291.569951999998</v>
      </c>
      <c r="J37" s="276"/>
      <c r="K37" s="276">
        <f t="shared" si="2"/>
        <v>120945.64</v>
      </c>
      <c r="L37" s="277"/>
      <c r="M37" s="276">
        <f t="shared" si="3"/>
        <v>84698.64</v>
      </c>
      <c r="N37" s="276"/>
      <c r="O37" s="276">
        <f t="shared" si="5"/>
        <v>11954.796</v>
      </c>
      <c r="P37" s="276"/>
      <c r="Q37" s="276">
        <f t="shared" si="4"/>
        <v>96653.436000000002</v>
      </c>
      <c r="R37" s="278"/>
      <c r="S37" s="285"/>
      <c r="T37" s="284"/>
      <c r="U37" s="280"/>
      <c r="V37" s="216"/>
      <c r="W37" s="279"/>
      <c r="X37" s="210"/>
      <c r="Y37" s="210"/>
      <c r="Z37" s="281"/>
      <c r="AA37" s="210"/>
      <c r="AB37" s="210"/>
      <c r="AC37" s="210"/>
      <c r="AD37" s="210"/>
      <c r="AE37" s="210"/>
      <c r="AF37" s="210"/>
      <c r="AG37" s="210"/>
      <c r="AH37" s="210"/>
      <c r="AI37" s="210"/>
      <c r="AJ37" s="210"/>
    </row>
    <row r="38" spans="1:36" ht="15.5" x14ac:dyDescent="0.35">
      <c r="A38" s="216"/>
      <c r="B38" s="289"/>
      <c r="C38" s="283"/>
      <c r="D38" s="275" t="s">
        <v>103</v>
      </c>
      <c r="E38" s="276">
        <v>86802.559999999998</v>
      </c>
      <c r="F38" s="276"/>
      <c r="G38" s="276">
        <f t="shared" si="0"/>
        <v>12270.384</v>
      </c>
      <c r="H38" s="276"/>
      <c r="I38" s="276">
        <f t="shared" si="1"/>
        <v>24894.974208</v>
      </c>
      <c r="J38" s="276"/>
      <c r="K38" s="276">
        <f t="shared" si="2"/>
        <v>123967.56</v>
      </c>
      <c r="L38" s="277"/>
      <c r="M38" s="276">
        <f t="shared" si="3"/>
        <v>86802.559999999998</v>
      </c>
      <c r="N38" s="276"/>
      <c r="O38" s="276">
        <f t="shared" si="5"/>
        <v>12270.384</v>
      </c>
      <c r="P38" s="276"/>
      <c r="Q38" s="276">
        <f t="shared" si="4"/>
        <v>99072.944000000003</v>
      </c>
      <c r="R38" s="278"/>
      <c r="S38" s="285"/>
      <c r="T38" s="284"/>
      <c r="U38" s="280"/>
      <c r="V38" s="216"/>
      <c r="W38" s="279"/>
      <c r="X38" s="210"/>
      <c r="Y38" s="210"/>
      <c r="Z38" s="281"/>
      <c r="AA38" s="210"/>
      <c r="AB38" s="210"/>
      <c r="AC38" s="210"/>
      <c r="AD38" s="210"/>
      <c r="AE38" s="210"/>
      <c r="AF38" s="210"/>
      <c r="AG38" s="210"/>
      <c r="AH38" s="210"/>
      <c r="AI38" s="210"/>
      <c r="AJ38" s="210"/>
    </row>
    <row r="39" spans="1:36" ht="15.5" x14ac:dyDescent="0.35">
      <c r="A39" s="216"/>
      <c r="B39" s="289"/>
      <c r="C39" s="283"/>
      <c r="D39" s="275" t="s">
        <v>104</v>
      </c>
      <c r="E39" s="276">
        <v>88950.16</v>
      </c>
      <c r="F39" s="276"/>
      <c r="G39" s="276">
        <f t="shared" si="0"/>
        <v>12592.523999999999</v>
      </c>
      <c r="H39" s="276"/>
      <c r="I39" s="276">
        <f t="shared" si="1"/>
        <v>25510.905888000001</v>
      </c>
      <c r="J39" s="276"/>
      <c r="K39" s="276">
        <f t="shared" si="2"/>
        <v>127054.16</v>
      </c>
      <c r="L39" s="277"/>
      <c r="M39" s="276">
        <f t="shared" si="3"/>
        <v>88950.16</v>
      </c>
      <c r="N39" s="276"/>
      <c r="O39" s="276">
        <f t="shared" si="5"/>
        <v>12592.523999999999</v>
      </c>
      <c r="P39" s="276"/>
      <c r="Q39" s="276">
        <f t="shared" si="4"/>
        <v>101542.68400000001</v>
      </c>
      <c r="R39" s="278"/>
      <c r="S39" s="285"/>
      <c r="T39" s="284"/>
      <c r="U39" s="280"/>
      <c r="V39" s="216"/>
      <c r="W39" s="279"/>
      <c r="X39" s="210"/>
      <c r="Y39" s="210"/>
      <c r="Z39" s="281"/>
      <c r="AA39" s="210"/>
      <c r="AB39" s="210"/>
      <c r="AC39" s="210"/>
      <c r="AD39" s="210"/>
      <c r="AE39" s="210"/>
      <c r="AF39" s="210"/>
      <c r="AG39" s="210"/>
      <c r="AH39" s="210"/>
      <c r="AI39" s="210"/>
      <c r="AJ39" s="210"/>
    </row>
    <row r="40" spans="1:36" ht="15.5" x14ac:dyDescent="0.35">
      <c r="A40" s="216"/>
      <c r="B40" s="289"/>
      <c r="C40" s="283"/>
      <c r="D40" s="275" t="s">
        <v>105</v>
      </c>
      <c r="E40" s="276">
        <v>90252.24</v>
      </c>
      <c r="F40" s="276"/>
      <c r="G40" s="276">
        <f t="shared" si="0"/>
        <v>12787.836000000001</v>
      </c>
      <c r="H40" s="276"/>
      <c r="I40" s="276">
        <f t="shared" si="1"/>
        <v>25884.342432000001</v>
      </c>
      <c r="J40" s="276"/>
      <c r="K40" s="276">
        <f t="shared" si="2"/>
        <v>128924.24</v>
      </c>
      <c r="L40" s="277"/>
      <c r="M40" s="276">
        <f t="shared" si="3"/>
        <v>90252.24</v>
      </c>
      <c r="N40" s="276"/>
      <c r="O40" s="276">
        <f t="shared" si="5"/>
        <v>12787.836000000001</v>
      </c>
      <c r="P40" s="276"/>
      <c r="Q40" s="276">
        <f t="shared" si="4"/>
        <v>103040.076</v>
      </c>
      <c r="R40" s="278"/>
      <c r="S40" s="285"/>
      <c r="T40" s="284"/>
      <c r="U40" s="280"/>
      <c r="V40" s="216"/>
      <c r="W40" s="279"/>
      <c r="X40" s="210"/>
      <c r="Y40" s="210"/>
      <c r="Z40" s="281"/>
      <c r="AA40" s="210"/>
      <c r="AB40" s="210"/>
      <c r="AC40" s="210"/>
      <c r="AD40" s="210"/>
      <c r="AE40" s="210"/>
      <c r="AF40" s="210"/>
      <c r="AG40" s="210"/>
      <c r="AH40" s="210"/>
      <c r="AI40" s="210"/>
      <c r="AJ40" s="210"/>
    </row>
    <row r="41" spans="1:36" ht="15.5" x14ac:dyDescent="0.35">
      <c r="A41" s="216"/>
      <c r="B41" s="289"/>
      <c r="C41" s="283"/>
      <c r="D41" s="275" t="s">
        <v>106</v>
      </c>
      <c r="E41" s="276">
        <v>91157.040000000008</v>
      </c>
      <c r="F41" s="276"/>
      <c r="G41" s="276">
        <f t="shared" si="0"/>
        <v>12923.556</v>
      </c>
      <c r="H41" s="276"/>
      <c r="I41" s="276">
        <f t="shared" si="1"/>
        <v>26143.839072000002</v>
      </c>
      <c r="J41" s="276"/>
      <c r="K41" s="276">
        <f t="shared" si="2"/>
        <v>130225.04000000001</v>
      </c>
      <c r="L41" s="277"/>
      <c r="M41" s="276">
        <f t="shared" si="3"/>
        <v>91157.040000000008</v>
      </c>
      <c r="N41" s="276"/>
      <c r="O41" s="276">
        <f t="shared" si="5"/>
        <v>12923.556</v>
      </c>
      <c r="P41" s="276"/>
      <c r="Q41" s="276">
        <f t="shared" si="4"/>
        <v>104080.59600000001</v>
      </c>
      <c r="R41" s="278"/>
      <c r="S41" s="285"/>
      <c r="T41" s="284"/>
      <c r="U41" s="280"/>
      <c r="V41" s="216"/>
      <c r="W41" s="279"/>
      <c r="X41" s="210"/>
      <c r="Y41" s="210"/>
      <c r="Z41" s="281"/>
      <c r="AA41" s="210"/>
      <c r="AB41" s="210"/>
      <c r="AC41" s="210"/>
      <c r="AD41" s="210"/>
      <c r="AE41" s="210"/>
      <c r="AF41" s="210"/>
      <c r="AG41" s="210"/>
      <c r="AH41" s="210"/>
      <c r="AI41" s="210"/>
      <c r="AJ41" s="210"/>
    </row>
    <row r="42" spans="1:36" ht="15.5" x14ac:dyDescent="0.35">
      <c r="A42" s="216"/>
      <c r="B42" s="289"/>
      <c r="C42" s="283"/>
      <c r="D42" s="275" t="s">
        <v>107</v>
      </c>
      <c r="E42" s="276">
        <v>93423.2</v>
      </c>
      <c r="F42" s="276"/>
      <c r="G42" s="276">
        <f t="shared" si="0"/>
        <v>13263.48</v>
      </c>
      <c r="H42" s="276"/>
      <c r="I42" s="276">
        <f t="shared" si="1"/>
        <v>26793.77376</v>
      </c>
      <c r="J42" s="276"/>
      <c r="K42" s="276">
        <f t="shared" si="2"/>
        <v>133480.20000000001</v>
      </c>
      <c r="L42" s="277"/>
      <c r="M42" s="276">
        <f t="shared" si="3"/>
        <v>93423.2</v>
      </c>
      <c r="N42" s="276"/>
      <c r="O42" s="276">
        <f t="shared" si="5"/>
        <v>13263.48</v>
      </c>
      <c r="P42" s="276"/>
      <c r="Q42" s="276">
        <f t="shared" si="4"/>
        <v>106686.68</v>
      </c>
      <c r="R42" s="278"/>
      <c r="S42" s="285"/>
      <c r="T42" s="284"/>
      <c r="U42" s="280"/>
      <c r="V42" s="216"/>
      <c r="W42" s="279"/>
      <c r="X42" s="210"/>
      <c r="Y42" s="210"/>
      <c r="Z42" s="281"/>
      <c r="AA42" s="210"/>
      <c r="AB42" s="210"/>
      <c r="AC42" s="210"/>
      <c r="AD42" s="210"/>
      <c r="AE42" s="210"/>
      <c r="AF42" s="210"/>
      <c r="AG42" s="210"/>
      <c r="AH42" s="210"/>
      <c r="AI42" s="210"/>
      <c r="AJ42" s="210"/>
    </row>
    <row r="43" spans="1:36" ht="15.5" x14ac:dyDescent="0.35">
      <c r="A43" s="216"/>
      <c r="B43" s="289"/>
      <c r="C43" s="283"/>
      <c r="D43" s="275" t="s">
        <v>108</v>
      </c>
      <c r="E43" s="276">
        <v>95734.080000000002</v>
      </c>
      <c r="F43" s="276"/>
      <c r="G43" s="276">
        <f t="shared" si="0"/>
        <v>13610.111999999999</v>
      </c>
      <c r="H43" s="276"/>
      <c r="I43" s="276">
        <f t="shared" si="1"/>
        <v>27456.534144000001</v>
      </c>
      <c r="J43" s="276"/>
      <c r="K43" s="276">
        <f t="shared" si="2"/>
        <v>136801.08000000002</v>
      </c>
      <c r="L43" s="277"/>
      <c r="M43" s="276">
        <f t="shared" si="3"/>
        <v>95734.080000000002</v>
      </c>
      <c r="N43" s="276"/>
      <c r="O43" s="276">
        <f t="shared" si="5"/>
        <v>13610.111999999999</v>
      </c>
      <c r="P43" s="276"/>
      <c r="Q43" s="276">
        <f t="shared" si="4"/>
        <v>109344.192</v>
      </c>
      <c r="R43" s="278"/>
      <c r="S43" s="285"/>
      <c r="T43" s="284"/>
      <c r="U43" s="280"/>
      <c r="V43" s="216"/>
      <c r="W43" s="279"/>
      <c r="X43" s="210"/>
      <c r="Y43" s="210"/>
      <c r="Z43" s="281"/>
      <c r="AA43" s="210"/>
      <c r="AB43" s="210"/>
      <c r="AC43" s="210"/>
      <c r="AD43" s="210"/>
      <c r="AE43" s="210"/>
      <c r="AF43" s="210"/>
      <c r="AG43" s="210"/>
      <c r="AH43" s="210"/>
      <c r="AI43" s="210"/>
      <c r="AJ43" s="210"/>
    </row>
    <row r="44" spans="1:36" ht="15.5" x14ac:dyDescent="0.35">
      <c r="A44" s="216"/>
      <c r="B44" s="289"/>
      <c r="C44" s="283"/>
      <c r="D44" s="275" t="s">
        <v>109</v>
      </c>
      <c r="E44" s="276">
        <v>97132.88</v>
      </c>
      <c r="F44" s="276"/>
      <c r="G44" s="276">
        <f t="shared" si="0"/>
        <v>13819.932000000001</v>
      </c>
      <c r="H44" s="276"/>
      <c r="I44" s="276">
        <f t="shared" si="1"/>
        <v>27857.709984000001</v>
      </c>
      <c r="J44" s="276"/>
      <c r="K44" s="276">
        <f t="shared" si="2"/>
        <v>138810.88</v>
      </c>
      <c r="L44" s="277"/>
      <c r="M44" s="276">
        <f t="shared" si="3"/>
        <v>97132.88</v>
      </c>
      <c r="N44" s="276"/>
      <c r="O44" s="276">
        <f t="shared" si="5"/>
        <v>13819.932000000001</v>
      </c>
      <c r="P44" s="276"/>
      <c r="Q44" s="276">
        <f t="shared" si="4"/>
        <v>110952.81200000001</v>
      </c>
      <c r="R44" s="278"/>
      <c r="S44" s="285"/>
      <c r="T44" s="284"/>
      <c r="U44" s="280"/>
      <c r="V44" s="216"/>
      <c r="W44" s="279"/>
      <c r="X44" s="210"/>
      <c r="Y44" s="210"/>
      <c r="Z44" s="281"/>
      <c r="AA44" s="210"/>
      <c r="AB44" s="210"/>
      <c r="AC44" s="210"/>
      <c r="AD44" s="210"/>
      <c r="AE44" s="210"/>
      <c r="AF44" s="210"/>
      <c r="AG44" s="210"/>
      <c r="AH44" s="210"/>
      <c r="AI44" s="210"/>
      <c r="AJ44" s="210"/>
    </row>
    <row r="45" spans="1:36" ht="15.5" x14ac:dyDescent="0.35">
      <c r="A45" s="216"/>
      <c r="B45" s="289"/>
      <c r="C45" s="283"/>
      <c r="D45" s="275" t="s">
        <v>110</v>
      </c>
      <c r="E45" s="276">
        <v>98105.279999999999</v>
      </c>
      <c r="F45" s="276"/>
      <c r="G45" s="276">
        <f t="shared" si="0"/>
        <v>13965.791999999999</v>
      </c>
      <c r="H45" s="276"/>
      <c r="I45" s="276">
        <f t="shared" si="1"/>
        <v>28136.594303999998</v>
      </c>
      <c r="J45" s="276"/>
      <c r="K45" s="276">
        <f t="shared" si="2"/>
        <v>140208.28</v>
      </c>
      <c r="L45" s="277"/>
      <c r="M45" s="276">
        <f t="shared" si="3"/>
        <v>98105.279999999999</v>
      </c>
      <c r="N45" s="276"/>
      <c r="O45" s="276">
        <f t="shared" si="5"/>
        <v>13965.791999999999</v>
      </c>
      <c r="P45" s="276"/>
      <c r="Q45" s="276">
        <f t="shared" si="4"/>
        <v>112071.072</v>
      </c>
      <c r="R45" s="278"/>
      <c r="S45" s="285"/>
      <c r="T45" s="284"/>
      <c r="U45" s="280"/>
      <c r="V45" s="216"/>
      <c r="W45" s="279"/>
      <c r="X45" s="210"/>
      <c r="Y45" s="210"/>
      <c r="Z45" s="281"/>
      <c r="AA45" s="210"/>
      <c r="AB45" s="210"/>
      <c r="AC45" s="210"/>
      <c r="AD45" s="210"/>
      <c r="AE45" s="210"/>
      <c r="AF45" s="210"/>
      <c r="AG45" s="210"/>
      <c r="AH45" s="210"/>
      <c r="AI45" s="210"/>
      <c r="AJ45" s="210"/>
    </row>
    <row r="46" spans="1:36" ht="15.5" x14ac:dyDescent="0.35">
      <c r="A46" s="216"/>
      <c r="B46" s="289"/>
      <c r="C46" s="283"/>
      <c r="D46" s="275" t="s">
        <v>111</v>
      </c>
      <c r="E46" s="276">
        <v>100539.92</v>
      </c>
      <c r="F46" s="276"/>
      <c r="G46" s="276">
        <f t="shared" si="0"/>
        <v>14330.987999999999</v>
      </c>
      <c r="H46" s="276"/>
      <c r="I46" s="276">
        <f t="shared" si="1"/>
        <v>28834.849055999999</v>
      </c>
      <c r="J46" s="276"/>
      <c r="K46" s="276">
        <f t="shared" si="2"/>
        <v>143705.91999999998</v>
      </c>
      <c r="L46" s="277"/>
      <c r="M46" s="276">
        <f t="shared" si="3"/>
        <v>100539.92</v>
      </c>
      <c r="N46" s="276"/>
      <c r="O46" s="276">
        <f t="shared" si="5"/>
        <v>14330.987999999999</v>
      </c>
      <c r="P46" s="276"/>
      <c r="Q46" s="276">
        <f t="shared" si="4"/>
        <v>114870.908</v>
      </c>
      <c r="R46" s="278"/>
      <c r="S46" s="285"/>
      <c r="T46" s="284"/>
      <c r="U46" s="280"/>
      <c r="V46" s="216"/>
      <c r="W46" s="279"/>
      <c r="X46" s="210"/>
      <c r="Y46" s="210"/>
      <c r="Z46" s="281"/>
      <c r="AA46" s="210"/>
      <c r="AB46" s="210"/>
      <c r="AC46" s="210"/>
      <c r="AD46" s="210"/>
      <c r="AE46" s="210"/>
      <c r="AF46" s="210"/>
      <c r="AG46" s="210"/>
      <c r="AH46" s="210"/>
      <c r="AI46" s="210"/>
      <c r="AJ46" s="210"/>
    </row>
    <row r="47" spans="1:36" ht="15.5" x14ac:dyDescent="0.35">
      <c r="A47" s="216"/>
      <c r="B47" s="289"/>
      <c r="C47" s="283"/>
      <c r="D47" s="275" t="s">
        <v>112</v>
      </c>
      <c r="E47" s="276">
        <v>103029.68000000001</v>
      </c>
      <c r="F47" s="276"/>
      <c r="G47" s="276">
        <f t="shared" si="0"/>
        <v>14704.452000000001</v>
      </c>
      <c r="H47" s="276"/>
      <c r="I47" s="276">
        <f t="shared" si="1"/>
        <v>29548.912224000003</v>
      </c>
      <c r="J47" s="276"/>
      <c r="K47" s="276">
        <f t="shared" si="2"/>
        <v>147282.68</v>
      </c>
      <c r="L47" s="277"/>
      <c r="M47" s="276">
        <f t="shared" si="3"/>
        <v>103029.68000000001</v>
      </c>
      <c r="N47" s="276"/>
      <c r="O47" s="276">
        <f t="shared" si="5"/>
        <v>14704.452000000001</v>
      </c>
      <c r="P47" s="276"/>
      <c r="Q47" s="276">
        <f t="shared" si="4"/>
        <v>117734.13200000001</v>
      </c>
      <c r="R47" s="278"/>
      <c r="S47" s="285"/>
      <c r="T47" s="284"/>
      <c r="U47" s="280"/>
      <c r="V47" s="216"/>
      <c r="W47" s="279"/>
      <c r="X47" s="210"/>
      <c r="Y47" s="210"/>
      <c r="Z47" s="281"/>
      <c r="AA47" s="210"/>
      <c r="AB47" s="210"/>
      <c r="AC47" s="210"/>
      <c r="AD47" s="210"/>
      <c r="AE47" s="210"/>
      <c r="AF47" s="210"/>
      <c r="AG47" s="210"/>
      <c r="AH47" s="210"/>
      <c r="AI47" s="210"/>
      <c r="AJ47" s="210"/>
    </row>
    <row r="48" spans="1:36" ht="15.5" x14ac:dyDescent="0.35">
      <c r="A48" s="216"/>
      <c r="B48" s="289"/>
      <c r="C48" s="283"/>
      <c r="D48" s="275" t="s">
        <v>113</v>
      </c>
      <c r="E48" s="276">
        <v>105594.32</v>
      </c>
      <c r="F48" s="276"/>
      <c r="G48" s="276">
        <f t="shared" si="0"/>
        <v>15089.148000000001</v>
      </c>
      <c r="H48" s="276"/>
      <c r="I48" s="276">
        <f t="shared" si="1"/>
        <v>30284.450976000004</v>
      </c>
      <c r="J48" s="276"/>
      <c r="K48" s="276">
        <f t="shared" si="2"/>
        <v>150967.32</v>
      </c>
      <c r="L48" s="277"/>
      <c r="M48" s="276">
        <f t="shared" si="3"/>
        <v>105594.32</v>
      </c>
      <c r="N48" s="276"/>
      <c r="O48" s="276">
        <f t="shared" si="5"/>
        <v>15089.148000000001</v>
      </c>
      <c r="P48" s="276"/>
      <c r="Q48" s="276">
        <f t="shared" si="4"/>
        <v>120683.46800000001</v>
      </c>
      <c r="R48" s="278"/>
      <c r="S48" s="285"/>
      <c r="T48" s="284"/>
      <c r="U48" s="280"/>
      <c r="V48" s="216"/>
      <c r="W48" s="279"/>
      <c r="X48" s="210"/>
      <c r="Y48" s="210"/>
      <c r="Z48" s="281"/>
      <c r="AA48" s="210"/>
      <c r="AB48" s="210"/>
      <c r="AC48" s="210"/>
      <c r="AD48" s="210"/>
      <c r="AE48" s="210"/>
      <c r="AF48" s="210"/>
      <c r="AG48" s="210"/>
      <c r="AH48" s="210"/>
      <c r="AI48" s="210"/>
      <c r="AJ48" s="210"/>
    </row>
    <row r="49" spans="1:36" ht="15.5" x14ac:dyDescent="0.35">
      <c r="A49" s="216"/>
      <c r="B49" s="289"/>
      <c r="C49" s="283"/>
      <c r="D49" s="275" t="s">
        <v>114</v>
      </c>
      <c r="E49" s="276">
        <v>107128.32000000001</v>
      </c>
      <c r="F49" s="276"/>
      <c r="G49" s="276">
        <f t="shared" si="0"/>
        <v>15319.248</v>
      </c>
      <c r="H49" s="276"/>
      <c r="I49" s="276">
        <f t="shared" si="1"/>
        <v>30724.402176000003</v>
      </c>
      <c r="J49" s="276"/>
      <c r="K49" s="276">
        <f t="shared" si="2"/>
        <v>153171.32</v>
      </c>
      <c r="L49" s="277"/>
      <c r="M49" s="276">
        <f t="shared" si="3"/>
        <v>107128.32000000001</v>
      </c>
      <c r="N49" s="276"/>
      <c r="O49" s="276">
        <f t="shared" si="5"/>
        <v>15319.248</v>
      </c>
      <c r="P49" s="276"/>
      <c r="Q49" s="276">
        <f t="shared" si="4"/>
        <v>122447.568</v>
      </c>
      <c r="R49" s="278"/>
      <c r="S49" s="285"/>
      <c r="T49" s="284"/>
      <c r="U49" s="280"/>
      <c r="V49" s="216"/>
      <c r="W49" s="279"/>
      <c r="X49" s="210"/>
      <c r="Y49" s="210"/>
      <c r="Z49" s="281"/>
      <c r="AA49" s="210"/>
      <c r="AB49" s="210"/>
      <c r="AC49" s="210"/>
      <c r="AD49" s="210"/>
      <c r="AE49" s="210"/>
      <c r="AF49" s="210"/>
      <c r="AG49" s="210"/>
      <c r="AH49" s="210"/>
      <c r="AI49" s="210"/>
      <c r="AJ49" s="210"/>
    </row>
    <row r="50" spans="1:36" ht="15.5" x14ac:dyDescent="0.35">
      <c r="A50" s="216"/>
      <c r="B50" s="289"/>
      <c r="C50" s="283"/>
      <c r="D50" s="275" t="s">
        <v>115</v>
      </c>
      <c r="E50" s="276">
        <v>108201.60000000001</v>
      </c>
      <c r="F50" s="276"/>
      <c r="G50" s="276">
        <f t="shared" si="0"/>
        <v>15480.24</v>
      </c>
      <c r="H50" s="276"/>
      <c r="I50" s="276">
        <f t="shared" si="1"/>
        <v>31032.21888</v>
      </c>
      <c r="J50" s="276"/>
      <c r="K50" s="276">
        <f t="shared" si="2"/>
        <v>154713.60000000001</v>
      </c>
      <c r="L50" s="277"/>
      <c r="M50" s="276">
        <f t="shared" si="3"/>
        <v>108201.60000000001</v>
      </c>
      <c r="N50" s="276"/>
      <c r="O50" s="276">
        <f t="shared" si="5"/>
        <v>15480.24</v>
      </c>
      <c r="P50" s="276"/>
      <c r="Q50" s="276">
        <f t="shared" si="4"/>
        <v>123681.84000000001</v>
      </c>
      <c r="R50" s="278"/>
      <c r="S50" s="285"/>
      <c r="T50" s="284"/>
      <c r="U50" s="280"/>
      <c r="V50" s="216"/>
      <c r="W50" s="279"/>
      <c r="X50" s="210"/>
      <c r="Y50" s="210"/>
      <c r="Z50" s="281"/>
      <c r="AA50" s="210"/>
      <c r="AB50" s="210"/>
      <c r="AC50" s="210"/>
      <c r="AD50" s="210"/>
      <c r="AE50" s="210"/>
      <c r="AF50" s="210"/>
      <c r="AG50" s="210"/>
      <c r="AH50" s="210"/>
      <c r="AI50" s="210"/>
      <c r="AJ50" s="210"/>
    </row>
    <row r="51" spans="1:36" ht="15.5" x14ac:dyDescent="0.35">
      <c r="A51" s="216"/>
      <c r="B51" s="289"/>
      <c r="C51" s="283"/>
      <c r="D51" s="275" t="s">
        <v>116</v>
      </c>
      <c r="E51" s="276">
        <v>110891.04000000001</v>
      </c>
      <c r="F51" s="276"/>
      <c r="G51" s="276">
        <f t="shared" si="0"/>
        <v>15883.656000000001</v>
      </c>
      <c r="H51" s="276"/>
      <c r="I51" s="276">
        <f t="shared" si="1"/>
        <v>31803.550272000004</v>
      </c>
      <c r="J51" s="276"/>
      <c r="K51" s="276">
        <f t="shared" si="2"/>
        <v>158579.04</v>
      </c>
      <c r="L51" s="277"/>
      <c r="M51" s="276">
        <f t="shared" si="3"/>
        <v>110891.04000000001</v>
      </c>
      <c r="N51" s="276"/>
      <c r="O51" s="276">
        <f t="shared" si="5"/>
        <v>15883.656000000001</v>
      </c>
      <c r="P51" s="276"/>
      <c r="Q51" s="276">
        <f t="shared" si="4"/>
        <v>126774.69600000001</v>
      </c>
      <c r="R51" s="278"/>
      <c r="S51" s="285"/>
      <c r="T51" s="284"/>
      <c r="U51" s="280"/>
      <c r="V51" s="216"/>
      <c r="W51" s="279"/>
      <c r="X51" s="210"/>
      <c r="Y51" s="210"/>
      <c r="Z51" s="281"/>
      <c r="AA51" s="210"/>
      <c r="AB51" s="210"/>
      <c r="AC51" s="210"/>
      <c r="AD51" s="210"/>
      <c r="AE51" s="210"/>
      <c r="AF51" s="210"/>
      <c r="AG51" s="210"/>
      <c r="AH51" s="210"/>
      <c r="AI51" s="210"/>
      <c r="AJ51" s="210"/>
    </row>
    <row r="52" spans="1:36" ht="15.5" x14ac:dyDescent="0.35">
      <c r="A52" s="216"/>
      <c r="B52" s="289"/>
      <c r="C52" s="283"/>
      <c r="D52" s="275" t="s">
        <v>117</v>
      </c>
      <c r="E52" s="276">
        <v>113646</v>
      </c>
      <c r="F52" s="276"/>
      <c r="G52" s="276">
        <f t="shared" si="0"/>
        <v>16296.9</v>
      </c>
      <c r="H52" s="276"/>
      <c r="I52" s="276">
        <f t="shared" si="1"/>
        <v>32593.6728</v>
      </c>
      <c r="J52" s="276"/>
      <c r="K52" s="276">
        <f t="shared" si="2"/>
        <v>162537</v>
      </c>
      <c r="L52" s="277"/>
      <c r="M52" s="276">
        <f t="shared" si="3"/>
        <v>113646</v>
      </c>
      <c r="N52" s="276"/>
      <c r="O52" s="276">
        <f t="shared" si="5"/>
        <v>16296.9</v>
      </c>
      <c r="P52" s="276"/>
      <c r="Q52" s="276">
        <f t="shared" si="4"/>
        <v>129942.9</v>
      </c>
      <c r="R52" s="278"/>
      <c r="S52" s="285"/>
      <c r="T52" s="284"/>
      <c r="U52" s="280"/>
      <c r="V52" s="216"/>
      <c r="W52" s="279"/>
      <c r="X52" s="210"/>
      <c r="Y52" s="210"/>
      <c r="Z52" s="281"/>
      <c r="AA52" s="210"/>
      <c r="AB52" s="210"/>
      <c r="AC52" s="210"/>
      <c r="AD52" s="210"/>
      <c r="AE52" s="210"/>
      <c r="AF52" s="210"/>
      <c r="AG52" s="210"/>
      <c r="AH52" s="210"/>
      <c r="AI52" s="210"/>
      <c r="AJ52" s="210"/>
    </row>
    <row r="53" spans="1:36" ht="15.5" x14ac:dyDescent="0.35">
      <c r="A53" s="216"/>
      <c r="B53" s="289"/>
      <c r="C53" s="283"/>
      <c r="D53" s="275" t="s">
        <v>118</v>
      </c>
      <c r="E53" s="276">
        <v>116455.04000000001</v>
      </c>
      <c r="F53" s="276"/>
      <c r="G53" s="276">
        <f t="shared" si="0"/>
        <v>16718.256000000001</v>
      </c>
      <c r="H53" s="276"/>
      <c r="I53" s="276">
        <f t="shared" si="1"/>
        <v>33399.305472</v>
      </c>
      <c r="J53" s="276"/>
      <c r="K53" s="276">
        <f t="shared" si="2"/>
        <v>166572.04</v>
      </c>
      <c r="L53" s="277"/>
      <c r="M53" s="276">
        <f t="shared" si="3"/>
        <v>116455.04000000001</v>
      </c>
      <c r="N53" s="276"/>
      <c r="O53" s="276">
        <f t="shared" si="5"/>
        <v>16718.256000000001</v>
      </c>
      <c r="P53" s="276"/>
      <c r="Q53" s="276">
        <f t="shared" si="4"/>
        <v>133173.296</v>
      </c>
      <c r="R53" s="278"/>
      <c r="S53" s="285"/>
      <c r="T53" s="284"/>
      <c r="U53" s="280"/>
      <c r="V53" s="216"/>
      <c r="W53" s="279"/>
      <c r="X53" s="210"/>
      <c r="Y53" s="210"/>
      <c r="Z53" s="281"/>
      <c r="AA53" s="210"/>
      <c r="AB53" s="210"/>
      <c r="AC53" s="210"/>
      <c r="AD53" s="210"/>
      <c r="AE53" s="210"/>
      <c r="AF53" s="210"/>
      <c r="AG53" s="210"/>
      <c r="AH53" s="210"/>
      <c r="AI53" s="210"/>
      <c r="AJ53" s="210"/>
    </row>
    <row r="54" spans="1:36" ht="15.5" x14ac:dyDescent="0.35">
      <c r="A54" s="216"/>
      <c r="B54" s="289"/>
      <c r="C54" s="283"/>
      <c r="D54" s="275" t="s">
        <v>119</v>
      </c>
      <c r="E54" s="276">
        <v>118166.88</v>
      </c>
      <c r="F54" s="276"/>
      <c r="G54" s="276">
        <f t="shared" si="0"/>
        <v>16975.031999999999</v>
      </c>
      <c r="H54" s="276"/>
      <c r="I54" s="276">
        <f t="shared" si="1"/>
        <v>33890.261184000003</v>
      </c>
      <c r="J54" s="276"/>
      <c r="K54" s="276">
        <f t="shared" si="2"/>
        <v>169031.88</v>
      </c>
      <c r="L54" s="277"/>
      <c r="M54" s="276">
        <f t="shared" si="3"/>
        <v>118166.88</v>
      </c>
      <c r="N54" s="276"/>
      <c r="O54" s="276">
        <f t="shared" si="5"/>
        <v>16975.031999999999</v>
      </c>
      <c r="P54" s="276"/>
      <c r="Q54" s="276">
        <f t="shared" si="4"/>
        <v>135141.91200000001</v>
      </c>
      <c r="R54" s="278"/>
      <c r="S54" s="285"/>
      <c r="T54" s="284"/>
      <c r="U54" s="280"/>
      <c r="V54" s="216"/>
      <c r="W54" s="279"/>
      <c r="X54" s="210"/>
      <c r="Y54" s="210"/>
      <c r="Z54" s="281"/>
      <c r="AA54" s="210"/>
      <c r="AB54" s="210"/>
      <c r="AC54" s="210"/>
      <c r="AD54" s="210"/>
      <c r="AE54" s="210"/>
      <c r="AF54" s="210"/>
      <c r="AG54" s="210"/>
      <c r="AH54" s="210"/>
      <c r="AI54" s="210"/>
      <c r="AJ54" s="210"/>
    </row>
    <row r="55" spans="1:36" ht="15.5" x14ac:dyDescent="0.35">
      <c r="A55" s="216"/>
      <c r="B55" s="289"/>
      <c r="C55" s="283"/>
      <c r="D55" s="275" t="s">
        <v>120</v>
      </c>
      <c r="E55" s="276">
        <v>119349.36</v>
      </c>
      <c r="F55" s="276"/>
      <c r="G55" s="276">
        <f t="shared" si="0"/>
        <v>17152.403999999999</v>
      </c>
      <c r="H55" s="276"/>
      <c r="I55" s="276">
        <f t="shared" si="1"/>
        <v>34229.396448</v>
      </c>
      <c r="J55" s="276"/>
      <c r="K55" s="276">
        <f t="shared" si="2"/>
        <v>170730.36</v>
      </c>
      <c r="L55" s="277"/>
      <c r="M55" s="276">
        <f t="shared" si="3"/>
        <v>119349.36</v>
      </c>
      <c r="N55" s="276"/>
      <c r="O55" s="276">
        <f t="shared" si="5"/>
        <v>17152.403999999999</v>
      </c>
      <c r="P55" s="276"/>
      <c r="Q55" s="276">
        <f t="shared" si="4"/>
        <v>136501.764</v>
      </c>
      <c r="R55" s="278"/>
      <c r="S55" s="285"/>
      <c r="T55" s="284"/>
      <c r="U55" s="280"/>
      <c r="V55" s="216"/>
      <c r="W55" s="279"/>
      <c r="X55" s="210"/>
      <c r="Y55" s="210"/>
      <c r="Z55" s="281"/>
      <c r="AA55" s="210"/>
      <c r="AB55" s="210"/>
      <c r="AC55" s="210"/>
      <c r="AD55" s="210"/>
      <c r="AE55" s="210"/>
      <c r="AF55" s="210"/>
      <c r="AG55" s="210"/>
      <c r="AH55" s="210"/>
      <c r="AI55" s="210"/>
      <c r="AJ55" s="210"/>
    </row>
    <row r="56" spans="1:36" ht="15.5" x14ac:dyDescent="0.35">
      <c r="A56" s="216"/>
      <c r="B56" s="289"/>
      <c r="C56" s="283"/>
      <c r="D56" s="275" t="s">
        <v>121</v>
      </c>
      <c r="E56" s="276">
        <v>122305.04000000001</v>
      </c>
      <c r="F56" s="276"/>
      <c r="G56" s="276">
        <f t="shared" si="0"/>
        <v>17595.756000000001</v>
      </c>
      <c r="H56" s="276"/>
      <c r="I56" s="276">
        <f t="shared" si="1"/>
        <v>35077.085471999999</v>
      </c>
      <c r="J56" s="276"/>
      <c r="K56" s="276">
        <f t="shared" si="2"/>
        <v>174978.04</v>
      </c>
      <c r="L56" s="277"/>
      <c r="M56" s="276">
        <f t="shared" si="3"/>
        <v>122305.04000000001</v>
      </c>
      <c r="N56" s="276"/>
      <c r="O56" s="276">
        <f t="shared" si="5"/>
        <v>17595.756000000001</v>
      </c>
      <c r="P56" s="276"/>
      <c r="Q56" s="276">
        <f t="shared" si="4"/>
        <v>139900.796</v>
      </c>
      <c r="R56" s="278"/>
      <c r="S56" s="285"/>
      <c r="T56" s="284"/>
      <c r="U56" s="280"/>
      <c r="V56" s="216"/>
      <c r="W56" s="279"/>
      <c r="X56" s="210"/>
      <c r="Y56" s="210"/>
      <c r="Z56" s="281"/>
      <c r="AA56" s="210"/>
      <c r="AB56" s="210"/>
      <c r="AC56" s="210"/>
      <c r="AD56" s="210"/>
      <c r="AE56" s="210"/>
      <c r="AF56" s="210"/>
      <c r="AG56" s="210"/>
      <c r="AH56" s="210"/>
      <c r="AI56" s="210"/>
      <c r="AJ56" s="210"/>
    </row>
    <row r="57" spans="1:36" ht="15.5" x14ac:dyDescent="0.35">
      <c r="A57" s="216"/>
      <c r="B57" s="289"/>
      <c r="C57" s="283"/>
      <c r="D57" s="275" t="s">
        <v>122</v>
      </c>
      <c r="E57" s="276">
        <v>125344.96000000001</v>
      </c>
      <c r="F57" s="276"/>
      <c r="G57" s="276">
        <f t="shared" si="0"/>
        <v>18051.743999999999</v>
      </c>
      <c r="H57" s="276"/>
      <c r="I57" s="276">
        <f t="shared" si="1"/>
        <v>35948.934528000005</v>
      </c>
      <c r="J57" s="276"/>
      <c r="K57" s="276">
        <f t="shared" si="2"/>
        <v>179345.96000000002</v>
      </c>
      <c r="L57" s="277"/>
      <c r="M57" s="276">
        <f t="shared" si="3"/>
        <v>125344.96000000001</v>
      </c>
      <c r="N57" s="276"/>
      <c r="O57" s="276">
        <f t="shared" si="5"/>
        <v>18051.743999999999</v>
      </c>
      <c r="P57" s="276"/>
      <c r="Q57" s="276">
        <f t="shared" si="4"/>
        <v>143396.704</v>
      </c>
      <c r="R57" s="278"/>
      <c r="S57" s="285"/>
      <c r="T57" s="284"/>
      <c r="U57" s="280"/>
      <c r="V57" s="216"/>
      <c r="W57" s="279"/>
      <c r="X57" s="210"/>
      <c r="Y57" s="210"/>
      <c r="Z57" s="281"/>
      <c r="AA57" s="210"/>
      <c r="AB57" s="210"/>
      <c r="AC57" s="210"/>
      <c r="AD57" s="210"/>
      <c r="AE57" s="210"/>
      <c r="AF57" s="210"/>
      <c r="AG57" s="210"/>
      <c r="AH57" s="210"/>
      <c r="AI57" s="210"/>
      <c r="AJ57" s="210"/>
    </row>
    <row r="58" spans="1:36" ht="15.5" x14ac:dyDescent="0.35">
      <c r="A58" s="216"/>
      <c r="B58" s="289"/>
      <c r="C58" s="283"/>
      <c r="D58" s="275" t="s">
        <v>123</v>
      </c>
      <c r="E58" s="276">
        <v>128446.24</v>
      </c>
      <c r="F58" s="276"/>
      <c r="G58" s="276">
        <f t="shared" si="0"/>
        <v>18516.936000000002</v>
      </c>
      <c r="H58" s="276"/>
      <c r="I58" s="276">
        <f t="shared" si="1"/>
        <v>36838.381632000004</v>
      </c>
      <c r="J58" s="276"/>
      <c r="K58" s="276">
        <f t="shared" si="2"/>
        <v>183801.24</v>
      </c>
      <c r="L58" s="277"/>
      <c r="M58" s="276">
        <f t="shared" si="3"/>
        <v>128446.24</v>
      </c>
      <c r="N58" s="276"/>
      <c r="O58" s="276">
        <f t="shared" si="5"/>
        <v>18516.936000000002</v>
      </c>
      <c r="P58" s="276"/>
      <c r="Q58" s="276">
        <f t="shared" si="4"/>
        <v>146963.17600000001</v>
      </c>
      <c r="R58" s="278"/>
      <c r="S58" s="285"/>
      <c r="T58" s="284"/>
      <c r="U58" s="280"/>
      <c r="V58" s="216"/>
      <c r="W58" s="279"/>
      <c r="X58" s="210"/>
      <c r="Y58" s="210"/>
      <c r="Z58" s="281"/>
      <c r="AA58" s="210"/>
      <c r="AB58" s="210"/>
      <c r="AC58" s="210"/>
      <c r="AD58" s="210"/>
      <c r="AE58" s="210"/>
      <c r="AF58" s="210"/>
      <c r="AG58" s="210"/>
      <c r="AH58" s="210"/>
      <c r="AI58" s="210"/>
      <c r="AJ58" s="210"/>
    </row>
    <row r="59" spans="1:36" ht="15.5" x14ac:dyDescent="0.35">
      <c r="A59" s="216"/>
      <c r="B59" s="289"/>
      <c r="C59" s="283"/>
      <c r="D59" s="275" t="s">
        <v>124</v>
      </c>
      <c r="E59" s="276">
        <v>130272.48000000001</v>
      </c>
      <c r="F59" s="276"/>
      <c r="G59" s="276">
        <f t="shared" si="0"/>
        <v>18790.871999999999</v>
      </c>
      <c r="H59" s="276"/>
      <c r="I59" s="276">
        <f t="shared" si="1"/>
        <v>37362.147264000007</v>
      </c>
      <c r="J59" s="276"/>
      <c r="K59" s="276">
        <f t="shared" si="2"/>
        <v>186425.48</v>
      </c>
      <c r="L59" s="277"/>
      <c r="M59" s="276">
        <f t="shared" si="3"/>
        <v>130272.48000000001</v>
      </c>
      <c r="N59" s="276"/>
      <c r="O59" s="276">
        <f t="shared" si="5"/>
        <v>18790.871999999999</v>
      </c>
      <c r="P59" s="276"/>
      <c r="Q59" s="276">
        <f t="shared" si="4"/>
        <v>149063.35200000001</v>
      </c>
      <c r="R59" s="278"/>
      <c r="S59" s="285"/>
      <c r="T59" s="284"/>
      <c r="U59" s="280"/>
      <c r="V59" s="216"/>
      <c r="W59" s="279"/>
      <c r="X59" s="210"/>
      <c r="Y59" s="210"/>
      <c r="Z59" s="281"/>
      <c r="AA59" s="210"/>
      <c r="AB59" s="210"/>
      <c r="AC59" s="210"/>
      <c r="AD59" s="210"/>
      <c r="AE59" s="210"/>
      <c r="AF59" s="210"/>
      <c r="AG59" s="210"/>
      <c r="AH59" s="210"/>
      <c r="AI59" s="210"/>
      <c r="AJ59" s="210"/>
    </row>
    <row r="60" spans="1:36" ht="15.5" x14ac:dyDescent="0.35">
      <c r="A60" s="216"/>
      <c r="B60" s="289"/>
      <c r="C60" s="283"/>
      <c r="D60" s="275" t="s">
        <v>125</v>
      </c>
      <c r="E60" s="276">
        <v>131577.68</v>
      </c>
      <c r="F60" s="276"/>
      <c r="G60" s="276">
        <f t="shared" si="0"/>
        <v>18986.651999999998</v>
      </c>
      <c r="H60" s="276"/>
      <c r="I60" s="276">
        <f t="shared" si="1"/>
        <v>37736.478623999996</v>
      </c>
      <c r="J60" s="276"/>
      <c r="K60" s="276">
        <f t="shared" si="2"/>
        <v>188300.68</v>
      </c>
      <c r="L60" s="277"/>
      <c r="M60" s="276">
        <f t="shared" si="3"/>
        <v>131577.68</v>
      </c>
      <c r="N60" s="276"/>
      <c r="O60" s="276">
        <f t="shared" si="5"/>
        <v>18986.651999999998</v>
      </c>
      <c r="P60" s="276"/>
      <c r="Q60" s="276">
        <f t="shared" si="4"/>
        <v>150564.33199999999</v>
      </c>
      <c r="R60" s="278"/>
      <c r="S60" s="285"/>
      <c r="T60" s="284"/>
      <c r="U60" s="280"/>
      <c r="V60" s="216"/>
      <c r="W60" s="279"/>
      <c r="X60" s="210"/>
      <c r="Y60" s="210"/>
      <c r="Z60" s="281"/>
      <c r="AA60" s="210"/>
      <c r="AB60" s="210"/>
      <c r="AC60" s="210"/>
      <c r="AD60" s="210"/>
      <c r="AE60" s="210"/>
      <c r="AF60" s="210"/>
      <c r="AG60" s="210"/>
      <c r="AH60" s="210"/>
      <c r="AI60" s="210"/>
      <c r="AJ60" s="210"/>
    </row>
    <row r="61" spans="1:36" ht="15.5" x14ac:dyDescent="0.35">
      <c r="A61" s="216"/>
      <c r="B61" s="289"/>
      <c r="C61" s="283"/>
      <c r="D61" s="275" t="s">
        <v>126</v>
      </c>
      <c r="E61" s="276">
        <v>134859.92000000001</v>
      </c>
      <c r="F61" s="276"/>
      <c r="G61" s="276">
        <f t="shared" si="0"/>
        <v>19478.988000000001</v>
      </c>
      <c r="H61" s="276"/>
      <c r="I61" s="276">
        <f t="shared" si="1"/>
        <v>38677.825056000001</v>
      </c>
      <c r="J61" s="276"/>
      <c r="K61" s="276">
        <f t="shared" si="2"/>
        <v>193016.92</v>
      </c>
      <c r="L61" s="277"/>
      <c r="M61" s="276">
        <f t="shared" si="3"/>
        <v>134859.92000000001</v>
      </c>
      <c r="N61" s="276"/>
      <c r="O61" s="276">
        <f t="shared" si="5"/>
        <v>19478.988000000001</v>
      </c>
      <c r="P61" s="276"/>
      <c r="Q61" s="276">
        <f t="shared" si="4"/>
        <v>154338.90800000002</v>
      </c>
      <c r="R61" s="278"/>
      <c r="S61" s="285"/>
      <c r="T61" s="284"/>
      <c r="U61" s="280"/>
      <c r="V61" s="216"/>
      <c r="W61" s="279"/>
      <c r="X61" s="210"/>
      <c r="Y61" s="210"/>
      <c r="Z61" s="281"/>
      <c r="AA61" s="210"/>
      <c r="AB61" s="210"/>
      <c r="AC61" s="210"/>
      <c r="AD61" s="210"/>
      <c r="AE61" s="210"/>
      <c r="AF61" s="210"/>
      <c r="AG61" s="210"/>
      <c r="AH61" s="210"/>
      <c r="AI61" s="210"/>
      <c r="AJ61" s="210"/>
    </row>
    <row r="62" spans="1:36" ht="15.5" x14ac:dyDescent="0.35">
      <c r="A62" s="216"/>
      <c r="B62" s="289"/>
      <c r="C62" s="283"/>
      <c r="D62" s="275" t="s">
        <v>127</v>
      </c>
      <c r="E62" s="276">
        <v>138229.52000000002</v>
      </c>
      <c r="F62" s="276"/>
      <c r="G62" s="276">
        <f t="shared" si="0"/>
        <v>19984.428000000004</v>
      </c>
      <c r="H62" s="276"/>
      <c r="I62" s="276">
        <f t="shared" si="1"/>
        <v>39644.226336000007</v>
      </c>
      <c r="J62" s="276"/>
      <c r="K62" s="276">
        <f t="shared" si="2"/>
        <v>197857.52000000002</v>
      </c>
      <c r="L62" s="277"/>
      <c r="M62" s="276">
        <f t="shared" si="3"/>
        <v>138229.52000000002</v>
      </c>
      <c r="N62" s="276"/>
      <c r="O62" s="276">
        <f t="shared" si="5"/>
        <v>19984.428000000004</v>
      </c>
      <c r="P62" s="276"/>
      <c r="Q62" s="276">
        <f t="shared" si="4"/>
        <v>158213.94800000003</v>
      </c>
      <c r="R62" s="278"/>
      <c r="S62" s="285"/>
      <c r="T62" s="284"/>
      <c r="U62" s="280"/>
      <c r="V62" s="216"/>
      <c r="W62" s="279"/>
      <c r="X62" s="210"/>
      <c r="Y62" s="210"/>
      <c r="Z62" s="281"/>
      <c r="AA62" s="210"/>
      <c r="AB62" s="210"/>
      <c r="AC62" s="210"/>
      <c r="AD62" s="210"/>
      <c r="AE62" s="210"/>
      <c r="AF62" s="210"/>
      <c r="AG62" s="210"/>
      <c r="AH62" s="210"/>
      <c r="AI62" s="210"/>
      <c r="AJ62" s="210"/>
    </row>
    <row r="63" spans="1:36" ht="15.5" x14ac:dyDescent="0.35">
      <c r="A63" s="216"/>
      <c r="B63" s="289"/>
      <c r="C63" s="283"/>
      <c r="D63" s="275" t="s">
        <v>128</v>
      </c>
      <c r="E63" s="276">
        <v>141692.72</v>
      </c>
      <c r="F63" s="276"/>
      <c r="G63" s="276">
        <f t="shared" si="0"/>
        <v>20503.907999999999</v>
      </c>
      <c r="H63" s="276"/>
      <c r="I63" s="276">
        <f t="shared" si="1"/>
        <v>40637.472095999998</v>
      </c>
      <c r="J63" s="276"/>
      <c r="K63" s="276">
        <f t="shared" si="2"/>
        <v>202833.72</v>
      </c>
      <c r="L63" s="277"/>
      <c r="M63" s="276">
        <f t="shared" si="3"/>
        <v>141692.72</v>
      </c>
      <c r="N63" s="276"/>
      <c r="O63" s="276">
        <f t="shared" si="5"/>
        <v>20503.907999999999</v>
      </c>
      <c r="P63" s="276"/>
      <c r="Q63" s="276">
        <f t="shared" si="4"/>
        <v>162196.628</v>
      </c>
      <c r="R63" s="278"/>
      <c r="S63" s="285"/>
      <c r="T63" s="284"/>
      <c r="U63" s="280"/>
      <c r="V63" s="216"/>
      <c r="W63" s="279"/>
      <c r="X63" s="210"/>
      <c r="Y63" s="210"/>
      <c r="Z63" s="281"/>
      <c r="AA63" s="210"/>
      <c r="AB63" s="210"/>
      <c r="AC63" s="210"/>
      <c r="AD63" s="210"/>
      <c r="AE63" s="210"/>
      <c r="AF63" s="210"/>
      <c r="AG63" s="210"/>
      <c r="AH63" s="210"/>
      <c r="AI63" s="210"/>
      <c r="AJ63" s="210"/>
    </row>
    <row r="64" spans="1:36" ht="15.5" x14ac:dyDescent="0.35">
      <c r="A64" s="216"/>
      <c r="B64" s="289"/>
      <c r="C64" s="283"/>
      <c r="D64" s="275" t="s">
        <v>129</v>
      </c>
      <c r="E64" s="276">
        <v>143795.6</v>
      </c>
      <c r="F64" s="276"/>
      <c r="G64" s="276">
        <f t="shared" si="0"/>
        <v>20819.34</v>
      </c>
      <c r="H64" s="276"/>
      <c r="I64" s="276">
        <f t="shared" si="1"/>
        <v>41240.578079999999</v>
      </c>
      <c r="J64" s="276"/>
      <c r="K64" s="276">
        <f t="shared" si="2"/>
        <v>205855.6</v>
      </c>
      <c r="L64" s="277"/>
      <c r="M64" s="276">
        <f t="shared" si="3"/>
        <v>143795.6</v>
      </c>
      <c r="N64" s="276"/>
      <c r="O64" s="276">
        <f t="shared" si="5"/>
        <v>20819.34</v>
      </c>
      <c r="P64" s="276"/>
      <c r="Q64" s="276">
        <f t="shared" si="4"/>
        <v>164614.94</v>
      </c>
      <c r="R64" s="278"/>
      <c r="S64" s="285"/>
      <c r="T64" s="284"/>
      <c r="U64" s="280"/>
      <c r="V64" s="216"/>
      <c r="W64" s="279"/>
      <c r="X64" s="210"/>
      <c r="Y64" s="210"/>
      <c r="Z64" s="281"/>
      <c r="AA64" s="210"/>
      <c r="AB64" s="210"/>
      <c r="AC64" s="210"/>
      <c r="AD64" s="210"/>
      <c r="AE64" s="210"/>
      <c r="AF64" s="210"/>
      <c r="AG64" s="210"/>
      <c r="AH64" s="210"/>
      <c r="AI64" s="210"/>
      <c r="AJ64" s="210"/>
    </row>
    <row r="65" spans="1:36" hidden="1" x14ac:dyDescent="0.35">
      <c r="A65" s="216"/>
      <c r="B65" s="290"/>
      <c r="C65" s="291"/>
      <c r="D65" s="292"/>
      <c r="E65" s="293">
        <f>SUM(E15:E64)</f>
        <v>4609808.3199999994</v>
      </c>
      <c r="F65" s="293"/>
      <c r="G65" s="293">
        <f>SUM(G15:G64)</f>
        <v>653971.24800000002</v>
      </c>
      <c r="H65" s="293"/>
      <c r="I65" s="293">
        <f>SUM(I15:I64)</f>
        <v>1322093.026176</v>
      </c>
      <c r="J65" s="293"/>
      <c r="K65" s="293">
        <f>SUM(K15:K64)</f>
        <v>6585869.3199999994</v>
      </c>
      <c r="L65" s="294"/>
      <c r="M65" s="293">
        <f>SUM(M15:M64)</f>
        <v>4609808.3199999994</v>
      </c>
      <c r="N65" s="293"/>
      <c r="O65" s="293">
        <f t="shared" si="5"/>
        <v>690721.24799999991</v>
      </c>
      <c r="P65" s="293"/>
      <c r="Q65" s="293">
        <f t="shared" si="4"/>
        <v>5300529.567999999</v>
      </c>
      <c r="R65" s="295"/>
      <c r="S65" s="285"/>
      <c r="T65" s="216"/>
      <c r="U65" s="280"/>
      <c r="V65" s="216"/>
      <c r="W65" s="279"/>
      <c r="X65" s="210"/>
      <c r="Y65" s="210"/>
      <c r="Z65" s="281">
        <f t="shared" ref="Z65" si="6">X65-G65</f>
        <v>-653971.24800000002</v>
      </c>
      <c r="AA65" s="210"/>
      <c r="AB65" s="210"/>
      <c r="AC65" s="210"/>
      <c r="AD65" s="210"/>
      <c r="AE65" s="210"/>
      <c r="AF65" s="210"/>
      <c r="AG65" s="210"/>
      <c r="AH65" s="210"/>
      <c r="AI65" s="210"/>
      <c r="AJ65" s="210"/>
    </row>
    <row r="66" spans="1:36" ht="15" thickBot="1" x14ac:dyDescent="0.4">
      <c r="A66" s="216"/>
      <c r="B66" s="296"/>
      <c r="C66" s="297"/>
      <c r="D66" s="298"/>
      <c r="E66" s="299"/>
      <c r="F66" s="299"/>
      <c r="G66" s="299"/>
      <c r="H66" s="299"/>
      <c r="I66" s="299"/>
      <c r="J66" s="299"/>
      <c r="K66" s="299"/>
      <c r="L66" s="300"/>
      <c r="M66" s="301"/>
      <c r="N66" s="299"/>
      <c r="O66" s="299"/>
      <c r="P66" s="299"/>
      <c r="Q66" s="299"/>
      <c r="R66" s="302"/>
      <c r="S66" s="285"/>
      <c r="T66" s="216"/>
      <c r="U66" s="280"/>
      <c r="V66" s="216"/>
      <c r="W66" s="216"/>
      <c r="X66" s="210"/>
      <c r="Y66" s="210"/>
      <c r="Z66" s="210"/>
      <c r="AA66" s="210"/>
      <c r="AB66" s="210"/>
      <c r="AC66" s="210"/>
      <c r="AD66" s="210"/>
      <c r="AE66" s="210"/>
      <c r="AF66" s="210"/>
      <c r="AG66" s="210"/>
      <c r="AH66" s="210"/>
      <c r="AI66" s="210"/>
      <c r="AJ66" s="210"/>
    </row>
    <row r="67" spans="1:36" x14ac:dyDescent="0.35">
      <c r="A67" s="216"/>
      <c r="B67" s="303"/>
      <c r="C67" s="304"/>
      <c r="D67" s="305"/>
      <c r="E67" s="279"/>
      <c r="F67" s="279"/>
      <c r="G67" s="279"/>
      <c r="H67" s="279"/>
      <c r="I67" s="279"/>
      <c r="J67" s="279"/>
      <c r="K67" s="279"/>
      <c r="L67" s="279"/>
      <c r="M67" s="279"/>
      <c r="N67" s="279"/>
      <c r="O67" s="279"/>
      <c r="P67" s="279"/>
      <c r="Q67" s="279"/>
      <c r="R67" s="216"/>
      <c r="S67" s="285"/>
      <c r="T67" s="216"/>
      <c r="U67" s="216"/>
      <c r="V67" s="216"/>
      <c r="W67" s="216"/>
      <c r="X67" s="210"/>
      <c r="Y67" s="210"/>
      <c r="Z67" s="210"/>
      <c r="AA67" s="210"/>
      <c r="AB67" s="210"/>
      <c r="AC67" s="210"/>
      <c r="AD67" s="210"/>
      <c r="AE67" s="210"/>
      <c r="AF67" s="210"/>
      <c r="AG67" s="210"/>
      <c r="AH67" s="210"/>
      <c r="AI67" s="210"/>
      <c r="AJ67" s="210"/>
    </row>
    <row r="68" spans="1:36" x14ac:dyDescent="0.35">
      <c r="A68" s="210"/>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row>
    <row r="69" spans="1:36" x14ac:dyDescent="0.35">
      <c r="A69" s="210"/>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row>
    <row r="70" spans="1:36" x14ac:dyDescent="0.35">
      <c r="A70" s="210"/>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row>
    <row r="71" spans="1:36" x14ac:dyDescent="0.35">
      <c r="A71" s="210"/>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row>
    <row r="72" spans="1:36" x14ac:dyDescent="0.35">
      <c r="A72" s="210"/>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row>
    <row r="73" spans="1:36" x14ac:dyDescent="0.35">
      <c r="A73" s="210"/>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row>
    <row r="74" spans="1:36" x14ac:dyDescent="0.35">
      <c r="A74" s="210"/>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row>
    <row r="75" spans="1:36" x14ac:dyDescent="0.35">
      <c r="A75" s="210"/>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row>
    <row r="76" spans="1:36" x14ac:dyDescent="0.35">
      <c r="A76" s="210"/>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row>
    <row r="77" spans="1:36" x14ac:dyDescent="0.35">
      <c r="A77" s="210"/>
      <c r="B77" s="210"/>
      <c r="C77" s="210"/>
      <c r="D77" s="210"/>
      <c r="E77" s="210"/>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row>
    <row r="78" spans="1:36" x14ac:dyDescent="0.35">
      <c r="A78" s="210"/>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row>
    <row r="79" spans="1:36" x14ac:dyDescent="0.35">
      <c r="A79" s="210"/>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row>
    <row r="80" spans="1:36" x14ac:dyDescent="0.35">
      <c r="A80" s="210"/>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row>
    <row r="81" spans="1:36" x14ac:dyDescent="0.35">
      <c r="A81" s="210"/>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row>
    <row r="82" spans="1:36" x14ac:dyDescent="0.35">
      <c r="A82" s="210"/>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10"/>
    </row>
    <row r="83" spans="1:36" x14ac:dyDescent="0.35">
      <c r="A83" s="210"/>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row>
    <row r="84" spans="1:36" x14ac:dyDescent="0.35">
      <c r="A84" s="210"/>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row>
    <row r="85" spans="1:36" x14ac:dyDescent="0.35">
      <c r="A85" s="210"/>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row>
  </sheetData>
  <mergeCells count="3">
    <mergeCell ref="B3:R3"/>
    <mergeCell ref="B11:L11"/>
    <mergeCell ref="M11:R11"/>
  </mergeCells>
  <pageMargins left="0.7" right="0.7" top="0.75" bottom="0.75" header="0.3" footer="0.3"/>
  <pageSetup paperSize="9" scale="65"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5EED-4E65-4485-997F-D54F617B79A6}">
  <sheetPr>
    <tabColor rgb="FFCC00CC"/>
  </sheetPr>
  <dimension ref="A1:DN114"/>
  <sheetViews>
    <sheetView showGridLines="0" topLeftCell="B4" zoomScale="80" zoomScaleNormal="80" workbookViewId="0">
      <selection activeCell="E16" sqref="E16"/>
    </sheetView>
  </sheetViews>
  <sheetFormatPr defaultColWidth="7.453125" defaultRowHeight="12.5" x14ac:dyDescent="0.25"/>
  <cols>
    <col min="1" max="1" width="10.453125" style="326" hidden="1" customWidth="1"/>
    <col min="2" max="2" width="13.1796875" style="326" customWidth="1"/>
    <col min="3" max="3" width="13.453125" style="326" customWidth="1"/>
    <col min="4" max="4" width="8.1796875" style="326" customWidth="1"/>
    <col min="5" max="5" width="12.453125" style="326" customWidth="1"/>
    <col min="6" max="6" width="4.1796875" style="326" customWidth="1"/>
    <col min="7" max="7" width="9" style="326" customWidth="1"/>
    <col min="8" max="8" width="2.81640625" style="326" customWidth="1"/>
    <col min="9" max="9" width="14.453125" style="326" bestFit="1" customWidth="1"/>
    <col min="10" max="10" width="4.7265625" style="326" customWidth="1"/>
    <col min="11" max="11" width="9.453125" style="326" customWidth="1"/>
    <col min="12" max="12" width="2.1796875" style="326" customWidth="1"/>
    <col min="13" max="13" width="9.453125" style="326" customWidth="1"/>
    <col min="14" max="14" width="5.1796875" style="326" customWidth="1"/>
    <col min="15" max="15" width="2.453125" style="326" customWidth="1"/>
    <col min="16" max="16" width="10.26953125" style="326" customWidth="1"/>
    <col min="17" max="17" width="7.453125" style="326"/>
    <col min="18" max="18" width="9" style="326" bestFit="1" customWidth="1"/>
    <col min="19" max="19" width="2.1796875" style="326" customWidth="1"/>
    <col min="20" max="20" width="8.453125" style="313" customWidth="1"/>
    <col min="21" max="21" width="11.1796875" style="313" bestFit="1" customWidth="1"/>
    <col min="22" max="23" width="8.453125" style="313" customWidth="1"/>
    <col min="24" max="26" width="7.453125" style="326"/>
    <col min="27" max="27" width="7.81640625" style="326" bestFit="1" customWidth="1"/>
    <col min="28" max="16384" width="7.453125" style="326"/>
  </cols>
  <sheetData>
    <row r="1" spans="1:108" s="314" customFormat="1" ht="25" x14ac:dyDescent="0.5">
      <c r="A1" s="308" t="s">
        <v>74</v>
      </c>
      <c r="B1" s="309" t="s">
        <v>0</v>
      </c>
      <c r="C1" s="310"/>
      <c r="D1" s="310"/>
      <c r="E1" s="310"/>
      <c r="F1" s="311"/>
      <c r="G1" s="310"/>
      <c r="H1" s="310"/>
      <c r="I1" s="310"/>
      <c r="J1" s="310"/>
      <c r="K1" s="310"/>
      <c r="L1" s="310"/>
      <c r="M1" s="310"/>
      <c r="N1" s="312"/>
      <c r="O1" s="312"/>
      <c r="P1" s="312"/>
      <c r="Q1" s="312"/>
      <c r="R1" s="310"/>
      <c r="S1" s="310"/>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row>
    <row r="2" spans="1:108" s="314" customFormat="1" ht="25" x14ac:dyDescent="0.5">
      <c r="A2" s="308"/>
      <c r="B2" s="315" t="s">
        <v>139</v>
      </c>
      <c r="C2" s="316"/>
      <c r="D2" s="316"/>
      <c r="E2" s="316"/>
      <c r="F2" s="317"/>
      <c r="G2" s="316"/>
      <c r="H2" s="316"/>
      <c r="I2" s="316"/>
      <c r="J2" s="316"/>
      <c r="K2" s="316"/>
      <c r="L2" s="316"/>
      <c r="M2" s="316"/>
      <c r="N2" s="318"/>
      <c r="O2" s="318"/>
      <c r="P2" s="318"/>
      <c r="Q2" s="318"/>
      <c r="R2" s="316"/>
      <c r="S2" s="316"/>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row>
    <row r="3" spans="1:108" s="314" customFormat="1" ht="81.650000000000006" customHeight="1" x14ac:dyDescent="0.3">
      <c r="A3" s="308" t="s">
        <v>2</v>
      </c>
      <c r="B3" s="953" t="s">
        <v>140</v>
      </c>
      <c r="C3" s="954"/>
      <c r="D3" s="954"/>
      <c r="E3" s="954"/>
      <c r="F3" s="954"/>
      <c r="G3" s="954"/>
      <c r="H3" s="954"/>
      <c r="I3" s="954"/>
      <c r="J3" s="954"/>
      <c r="K3" s="954"/>
      <c r="L3" s="954"/>
      <c r="M3" s="954"/>
      <c r="N3" s="954"/>
      <c r="O3" s="954"/>
      <c r="P3" s="954"/>
      <c r="Q3" s="954"/>
      <c r="R3" s="954"/>
      <c r="S3" s="955"/>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3"/>
      <c r="BF3" s="313"/>
      <c r="BG3" s="313"/>
      <c r="BH3" s="313"/>
      <c r="BI3" s="313"/>
      <c r="BJ3" s="313"/>
      <c r="BK3" s="313"/>
      <c r="BL3" s="313"/>
      <c r="BM3" s="313"/>
      <c r="BN3" s="313"/>
      <c r="BO3" s="313"/>
      <c r="BP3" s="313"/>
      <c r="BQ3" s="313"/>
      <c r="BR3" s="313"/>
      <c r="BS3" s="313"/>
      <c r="BT3" s="313"/>
      <c r="BU3" s="313"/>
      <c r="BV3" s="313"/>
      <c r="BW3" s="313"/>
      <c r="BX3" s="313"/>
      <c r="BY3" s="313"/>
      <c r="BZ3" s="313"/>
      <c r="CA3" s="313"/>
      <c r="CB3" s="313"/>
      <c r="CC3" s="313"/>
      <c r="CD3" s="313"/>
      <c r="CE3" s="313"/>
      <c r="CF3" s="313"/>
      <c r="CG3" s="313"/>
      <c r="CH3" s="313"/>
      <c r="CI3" s="313"/>
      <c r="CJ3" s="313"/>
      <c r="CK3" s="313"/>
      <c r="CL3" s="313"/>
      <c r="CM3" s="313"/>
      <c r="CN3" s="313"/>
      <c r="CO3" s="313"/>
      <c r="CP3" s="313"/>
      <c r="CQ3" s="313"/>
      <c r="CR3" s="313"/>
      <c r="CS3" s="313"/>
      <c r="CT3" s="313"/>
      <c r="CU3" s="313"/>
      <c r="CV3" s="313"/>
      <c r="CW3" s="313"/>
      <c r="CX3" s="313"/>
      <c r="CY3" s="313"/>
      <c r="CZ3" s="313"/>
      <c r="DA3" s="313"/>
      <c r="DB3" s="313"/>
      <c r="DC3" s="313"/>
      <c r="DD3" s="313"/>
    </row>
    <row r="4" spans="1:108" ht="13" x14ac:dyDescent="0.3">
      <c r="A4" s="308" t="s">
        <v>141</v>
      </c>
      <c r="B4" s="319"/>
      <c r="C4" s="320" t="s">
        <v>77</v>
      </c>
      <c r="D4" s="320"/>
      <c r="E4" s="320"/>
      <c r="F4" s="321"/>
      <c r="G4" s="321"/>
      <c r="H4" s="320"/>
      <c r="I4" s="322"/>
      <c r="J4" s="322"/>
      <c r="K4" s="322"/>
      <c r="L4" s="322"/>
      <c r="M4" s="323"/>
      <c r="N4" s="324"/>
      <c r="O4" s="324"/>
      <c r="P4" s="322"/>
      <c r="Q4" s="322"/>
      <c r="R4" s="322"/>
      <c r="S4" s="325"/>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row>
    <row r="5" spans="1:108" ht="13" x14ac:dyDescent="0.3">
      <c r="A5" s="308"/>
      <c r="B5" s="327"/>
      <c r="C5" s="328" t="s">
        <v>11</v>
      </c>
      <c r="D5" s="328"/>
      <c r="E5" s="328"/>
      <c r="F5" s="329" t="s">
        <v>12</v>
      </c>
      <c r="G5" s="328"/>
      <c r="H5" s="328"/>
      <c r="I5" s="330"/>
      <c r="J5" s="330"/>
      <c r="K5" s="330"/>
      <c r="L5" s="330"/>
      <c r="M5" s="331"/>
      <c r="N5" s="332"/>
      <c r="O5" s="332"/>
      <c r="P5" s="330"/>
      <c r="Q5" s="330"/>
      <c r="R5" s="330"/>
      <c r="S5" s="33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13"/>
      <c r="BH5" s="313"/>
      <c r="BI5" s="313"/>
      <c r="BJ5" s="313"/>
      <c r="BK5" s="313"/>
      <c r="BL5" s="313"/>
      <c r="BM5" s="313"/>
      <c r="BN5" s="313"/>
      <c r="BO5" s="313"/>
      <c r="BP5" s="313"/>
      <c r="BQ5" s="313"/>
      <c r="BR5" s="313"/>
      <c r="BS5" s="313"/>
      <c r="BT5" s="313"/>
      <c r="BU5" s="313"/>
      <c r="BV5" s="313"/>
      <c r="BW5" s="313"/>
      <c r="BX5" s="313"/>
      <c r="BY5" s="313"/>
      <c r="BZ5" s="313"/>
      <c r="CA5" s="313"/>
      <c r="CB5" s="313"/>
      <c r="CC5" s="313"/>
      <c r="CD5" s="313"/>
      <c r="CE5" s="313"/>
      <c r="CF5" s="313"/>
      <c r="CG5" s="313"/>
      <c r="CH5" s="313"/>
      <c r="CI5" s="313"/>
      <c r="CJ5" s="313"/>
      <c r="CK5" s="313"/>
      <c r="CL5" s="313"/>
      <c r="CM5" s="313"/>
      <c r="CN5" s="313"/>
      <c r="CO5" s="313"/>
      <c r="CP5" s="313"/>
      <c r="CQ5" s="313"/>
      <c r="CR5" s="313"/>
      <c r="CS5" s="313"/>
      <c r="CT5" s="313"/>
      <c r="CU5" s="313"/>
      <c r="CV5" s="313"/>
      <c r="CW5" s="313"/>
      <c r="CX5" s="313"/>
      <c r="CY5" s="313"/>
      <c r="CZ5" s="313"/>
      <c r="DA5" s="313"/>
      <c r="DB5" s="313"/>
      <c r="DC5" s="313"/>
      <c r="DD5" s="313"/>
    </row>
    <row r="6" spans="1:108" ht="15.5" x14ac:dyDescent="0.45">
      <c r="A6" s="308"/>
      <c r="B6" s="327"/>
      <c r="C6" s="334" t="s">
        <v>13</v>
      </c>
      <c r="D6" s="334"/>
      <c r="E6" s="334"/>
      <c r="F6" s="335"/>
      <c r="G6" s="336">
        <v>0</v>
      </c>
      <c r="H6" s="337"/>
      <c r="I6" s="330"/>
      <c r="J6" s="330"/>
      <c r="K6" s="330"/>
      <c r="L6" s="330"/>
      <c r="M6" s="331"/>
      <c r="N6" s="332"/>
      <c r="O6" s="332"/>
      <c r="P6" s="330"/>
      <c r="Q6" s="330"/>
      <c r="R6" s="330"/>
      <c r="S6" s="33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c r="BG6" s="313"/>
      <c r="BH6" s="313"/>
      <c r="BI6" s="313"/>
      <c r="BJ6" s="313"/>
      <c r="BK6" s="313"/>
      <c r="BL6" s="313"/>
      <c r="BM6" s="313"/>
      <c r="BN6" s="313"/>
      <c r="BO6" s="313"/>
      <c r="BP6" s="313"/>
      <c r="BQ6" s="313"/>
      <c r="BR6" s="313"/>
      <c r="BS6" s="313"/>
      <c r="BT6" s="313"/>
      <c r="BU6" s="313"/>
      <c r="BV6" s="313"/>
      <c r="BW6" s="313"/>
      <c r="BX6" s="313"/>
      <c r="BY6" s="313"/>
      <c r="BZ6" s="313"/>
      <c r="CA6" s="313"/>
      <c r="CB6" s="313"/>
      <c r="CC6" s="313"/>
      <c r="CD6" s="313"/>
      <c r="CE6" s="313"/>
      <c r="CF6" s="313"/>
      <c r="CG6" s="313"/>
      <c r="CH6" s="313"/>
      <c r="CI6" s="313"/>
      <c r="CJ6" s="313"/>
      <c r="CK6" s="313"/>
      <c r="CL6" s="313"/>
      <c r="CM6" s="313"/>
      <c r="CN6" s="313"/>
      <c r="CO6" s="313"/>
      <c r="CP6" s="313"/>
      <c r="CQ6" s="313"/>
      <c r="CR6" s="313"/>
      <c r="CS6" s="313"/>
      <c r="CT6" s="313"/>
      <c r="CU6" s="313"/>
      <c r="CV6" s="313"/>
      <c r="CW6" s="313"/>
      <c r="CX6" s="313"/>
      <c r="CY6" s="313"/>
      <c r="CZ6" s="313"/>
      <c r="DA6" s="313"/>
      <c r="DB6" s="313"/>
      <c r="DC6" s="313"/>
      <c r="DD6" s="313"/>
    </row>
    <row r="7" spans="1:108" ht="15.5" x14ac:dyDescent="0.45">
      <c r="A7" s="308"/>
      <c r="B7" s="327"/>
      <c r="C7" s="334" t="s">
        <v>14</v>
      </c>
      <c r="D7" s="334"/>
      <c r="E7" s="334"/>
      <c r="F7" s="335"/>
      <c r="G7" s="336">
        <v>0.15</v>
      </c>
      <c r="H7" s="338"/>
      <c r="I7" s="330"/>
      <c r="J7" s="330"/>
      <c r="K7" s="330"/>
      <c r="L7" s="330"/>
      <c r="M7" s="331"/>
      <c r="N7" s="332"/>
      <c r="O7" s="332"/>
      <c r="P7" s="330"/>
      <c r="Q7" s="330"/>
      <c r="R7" s="330"/>
      <c r="S7" s="333"/>
      <c r="U7" s="339"/>
      <c r="V7" s="339"/>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3"/>
      <c r="AZ7" s="313"/>
      <c r="BA7" s="313"/>
      <c r="BB7" s="313"/>
      <c r="BC7" s="313"/>
      <c r="BD7" s="313"/>
      <c r="BE7" s="313"/>
      <c r="BF7" s="313"/>
      <c r="BG7" s="313"/>
      <c r="BH7" s="313"/>
      <c r="BI7" s="313"/>
      <c r="BJ7" s="313"/>
      <c r="BK7" s="313"/>
      <c r="BL7" s="313"/>
      <c r="BM7" s="313"/>
      <c r="BN7" s="313"/>
      <c r="BO7" s="313"/>
      <c r="BP7" s="313"/>
      <c r="BQ7" s="313"/>
      <c r="BR7" s="313"/>
      <c r="BS7" s="313"/>
      <c r="BT7" s="313"/>
      <c r="BU7" s="313"/>
      <c r="BV7" s="313"/>
      <c r="BW7" s="313"/>
      <c r="BX7" s="313"/>
      <c r="BY7" s="313"/>
      <c r="BZ7" s="313"/>
      <c r="CA7" s="313"/>
      <c r="CB7" s="313"/>
      <c r="CC7" s="313"/>
      <c r="CD7" s="313"/>
      <c r="CE7" s="313"/>
      <c r="CF7" s="313"/>
      <c r="CG7" s="313"/>
      <c r="CH7" s="313"/>
      <c r="CI7" s="313"/>
      <c r="CJ7" s="313"/>
      <c r="CK7" s="313"/>
      <c r="CL7" s="313"/>
      <c r="CM7" s="313"/>
      <c r="CN7" s="313"/>
      <c r="CO7" s="313"/>
      <c r="CP7" s="313"/>
      <c r="CQ7" s="313"/>
      <c r="CR7" s="313"/>
      <c r="CS7" s="313"/>
      <c r="CT7" s="313"/>
      <c r="CU7" s="313"/>
      <c r="CV7" s="313"/>
      <c r="CW7" s="313"/>
      <c r="CX7" s="313"/>
      <c r="CY7" s="313"/>
      <c r="CZ7" s="313"/>
      <c r="DA7" s="313"/>
      <c r="DB7" s="313"/>
      <c r="DC7" s="313"/>
      <c r="DD7" s="313"/>
    </row>
    <row r="8" spans="1:108" ht="13" x14ac:dyDescent="0.3">
      <c r="A8" s="308"/>
      <c r="B8" s="327"/>
      <c r="C8" s="328" t="s">
        <v>15</v>
      </c>
      <c r="D8" s="328"/>
      <c r="E8" s="328"/>
      <c r="F8" s="328" t="s">
        <v>16</v>
      </c>
      <c r="G8" s="329"/>
      <c r="H8" s="340"/>
      <c r="I8" s="330"/>
      <c r="J8" s="330"/>
      <c r="K8" s="330"/>
      <c r="L8" s="330"/>
      <c r="M8" s="330"/>
      <c r="N8" s="332"/>
      <c r="O8" s="330"/>
      <c r="P8" s="330"/>
      <c r="Q8" s="330"/>
      <c r="R8" s="330"/>
      <c r="S8" s="33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313"/>
      <c r="CO8" s="313"/>
      <c r="CP8" s="313"/>
      <c r="CQ8" s="313"/>
      <c r="CR8" s="313"/>
      <c r="CS8" s="313"/>
      <c r="CT8" s="313"/>
      <c r="CU8" s="313"/>
      <c r="CV8" s="313"/>
      <c r="CW8" s="313"/>
      <c r="CX8" s="313"/>
      <c r="CY8" s="313"/>
      <c r="CZ8" s="313"/>
      <c r="DA8" s="313"/>
      <c r="DB8" s="313"/>
      <c r="DC8" s="313"/>
      <c r="DD8" s="313"/>
    </row>
    <row r="9" spans="1:108" ht="16" thickBot="1" x14ac:dyDescent="0.5">
      <c r="A9" s="308"/>
      <c r="B9" s="341"/>
      <c r="C9" s="342" t="s">
        <v>17</v>
      </c>
      <c r="D9" s="342"/>
      <c r="E9" s="342"/>
      <c r="F9" s="343"/>
      <c r="G9" s="344">
        <v>0.2868</v>
      </c>
      <c r="H9" s="345"/>
      <c r="I9" s="346"/>
      <c r="J9" s="347"/>
      <c r="K9" s="346"/>
      <c r="L9" s="347"/>
      <c r="M9" s="347"/>
      <c r="N9" s="347"/>
      <c r="O9" s="347"/>
      <c r="P9" s="347"/>
      <c r="Q9" s="347"/>
      <c r="R9" s="347"/>
      <c r="S9" s="348"/>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c r="BG9" s="313"/>
      <c r="BH9" s="313"/>
      <c r="BI9" s="313"/>
      <c r="BJ9" s="313"/>
      <c r="BK9" s="313"/>
      <c r="BL9" s="313"/>
      <c r="BM9" s="313"/>
      <c r="BN9" s="313"/>
      <c r="BO9" s="313"/>
      <c r="BP9" s="313"/>
      <c r="BQ9" s="313"/>
      <c r="BR9" s="313"/>
      <c r="BS9" s="313"/>
      <c r="BT9" s="313"/>
      <c r="BU9" s="313"/>
      <c r="BV9" s="313"/>
      <c r="BW9" s="313"/>
      <c r="BX9" s="313"/>
      <c r="BY9" s="313"/>
      <c r="BZ9" s="313"/>
      <c r="CA9" s="313"/>
      <c r="CB9" s="313"/>
      <c r="CC9" s="313"/>
      <c r="CD9" s="313"/>
      <c r="CE9" s="313"/>
      <c r="CF9" s="313"/>
      <c r="CG9" s="313"/>
      <c r="CH9" s="313"/>
      <c r="CI9" s="313"/>
      <c r="CJ9" s="313"/>
      <c r="CK9" s="313"/>
      <c r="CL9" s="313"/>
      <c r="CM9" s="313"/>
      <c r="CN9" s="313"/>
      <c r="CO9" s="313"/>
      <c r="CP9" s="313"/>
      <c r="CQ9" s="313"/>
      <c r="CR9" s="313"/>
      <c r="CS9" s="313"/>
      <c r="CT9" s="313"/>
      <c r="CU9" s="313"/>
      <c r="CV9" s="313"/>
      <c r="CW9" s="313"/>
      <c r="CX9" s="313"/>
      <c r="CY9" s="313"/>
      <c r="CZ9" s="313"/>
      <c r="DA9" s="313"/>
      <c r="DB9" s="313"/>
      <c r="DC9" s="313"/>
      <c r="DD9" s="313"/>
    </row>
    <row r="10" spans="1:108" ht="13" thickBot="1" x14ac:dyDescent="0.3">
      <c r="B10" s="349"/>
      <c r="C10" s="350"/>
      <c r="D10" s="350"/>
      <c r="E10" s="350"/>
      <c r="F10" s="350"/>
      <c r="G10" s="350"/>
      <c r="H10" s="350"/>
      <c r="I10" s="350"/>
      <c r="J10" s="350"/>
      <c r="K10" s="350"/>
      <c r="L10" s="350"/>
      <c r="M10" s="350"/>
      <c r="N10" s="350"/>
      <c r="O10" s="350"/>
      <c r="P10" s="350"/>
      <c r="Q10" s="350"/>
      <c r="R10" s="350"/>
      <c r="S10" s="350"/>
      <c r="U10" s="339">
        <v>5000</v>
      </c>
      <c r="V10" s="339">
        <v>0</v>
      </c>
      <c r="W10" s="378">
        <v>0.15</v>
      </c>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313"/>
      <c r="CO10" s="313"/>
      <c r="CP10" s="313"/>
      <c r="CQ10" s="313"/>
      <c r="CR10" s="313"/>
      <c r="CS10" s="313"/>
      <c r="CT10" s="313"/>
      <c r="CU10" s="313"/>
      <c r="CV10" s="313"/>
      <c r="CW10" s="313"/>
      <c r="CX10" s="313"/>
      <c r="CY10" s="313"/>
      <c r="CZ10" s="313"/>
      <c r="DA10" s="313"/>
      <c r="DB10" s="313"/>
      <c r="DC10" s="313"/>
      <c r="DD10" s="313"/>
    </row>
    <row r="11" spans="1:108" ht="15.5" x14ac:dyDescent="0.35">
      <c r="A11" s="308" t="s">
        <v>142</v>
      </c>
      <c r="B11" s="351"/>
      <c r="C11" s="352"/>
      <c r="D11" s="352"/>
      <c r="E11" s="353" t="s">
        <v>20</v>
      </c>
      <c r="F11" s="353"/>
      <c r="G11" s="353"/>
      <c r="H11" s="353"/>
      <c r="I11" s="353"/>
      <c r="J11" s="353"/>
      <c r="K11" s="353"/>
      <c r="L11" s="354"/>
      <c r="M11" s="355" t="s">
        <v>78</v>
      </c>
      <c r="N11" s="356"/>
      <c r="O11" s="356"/>
      <c r="P11" s="356"/>
      <c r="Q11" s="356"/>
      <c r="R11" s="356"/>
      <c r="S11" s="357"/>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row>
    <row r="12" spans="1:108" ht="15.5" x14ac:dyDescent="0.35">
      <c r="A12" s="308"/>
      <c r="B12" s="351"/>
      <c r="C12" s="358" t="s">
        <v>22</v>
      </c>
      <c r="D12" s="358" t="s">
        <v>23</v>
      </c>
      <c r="E12" s="359" t="s">
        <v>24</v>
      </c>
      <c r="F12" s="358"/>
      <c r="G12" s="360" t="s">
        <v>25</v>
      </c>
      <c r="H12" s="358"/>
      <c r="I12" s="359" t="s">
        <v>26</v>
      </c>
      <c r="J12" s="358"/>
      <c r="K12" s="359" t="s">
        <v>27</v>
      </c>
      <c r="L12" s="361"/>
      <c r="M12" s="362" t="s">
        <v>24</v>
      </c>
      <c r="N12" s="358"/>
      <c r="O12" s="358"/>
      <c r="P12" s="360" t="s">
        <v>25</v>
      </c>
      <c r="Q12" s="359"/>
      <c r="R12" s="359" t="s">
        <v>27</v>
      </c>
      <c r="S12" s="357"/>
      <c r="U12" s="313" t="s">
        <v>44</v>
      </c>
      <c r="V12" s="313">
        <v>0.2868</v>
      </c>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row>
    <row r="13" spans="1:108" ht="16" thickBot="1" x14ac:dyDescent="0.4">
      <c r="A13" s="308"/>
      <c r="B13" s="363"/>
      <c r="C13" s="364"/>
      <c r="D13" s="364"/>
      <c r="E13" s="364"/>
      <c r="F13" s="364"/>
      <c r="G13" s="364"/>
      <c r="H13" s="364"/>
      <c r="I13" s="364"/>
      <c r="J13" s="364"/>
      <c r="K13" s="364"/>
      <c r="L13" s="364"/>
      <c r="M13" s="365"/>
      <c r="N13" s="364"/>
      <c r="O13" s="364"/>
      <c r="P13" s="364"/>
      <c r="Q13" s="364"/>
      <c r="R13" s="364"/>
      <c r="S13" s="366"/>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row>
    <row r="14" spans="1:108" ht="15.5" x14ac:dyDescent="0.35">
      <c r="A14" s="308"/>
      <c r="B14" s="367"/>
      <c r="C14" s="368"/>
      <c r="D14" s="368"/>
      <c r="E14" s="368"/>
      <c r="F14" s="368"/>
      <c r="G14" s="368"/>
      <c r="H14" s="368"/>
      <c r="I14" s="368"/>
      <c r="J14" s="368"/>
      <c r="K14" s="368"/>
      <c r="L14" s="369"/>
      <c r="M14" s="368"/>
      <c r="N14" s="368"/>
      <c r="O14" s="368"/>
      <c r="P14" s="368"/>
      <c r="Q14" s="368"/>
      <c r="R14" s="368"/>
      <c r="S14" s="369"/>
      <c r="T14" s="370"/>
      <c r="U14" s="371"/>
      <c r="V14" s="339"/>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row>
    <row r="15" spans="1:108" ht="16.5" customHeight="1" x14ac:dyDescent="0.35">
      <c r="A15" s="308"/>
      <c r="B15" s="956" t="s">
        <v>143</v>
      </c>
      <c r="C15" s="957"/>
      <c r="D15" s="372" t="s">
        <v>144</v>
      </c>
      <c r="E15" s="373">
        <v>32916</v>
      </c>
      <c r="F15" s="374"/>
      <c r="G15" s="373">
        <f>IF($M15&gt;$U$10,($E15-$U$10)*$W$10,"ERROR")</f>
        <v>4187.3999999999996</v>
      </c>
      <c r="H15" s="373"/>
      <c r="I15" s="373">
        <f t="shared" ref="I15:I20" si="0">$E15*$V$12</f>
        <v>9440.3088000000007</v>
      </c>
      <c r="J15" s="373"/>
      <c r="K15" s="373">
        <f t="shared" ref="K15:K20" si="1">E15+ROUND(G15,0)+ROUND(I15,0)</f>
        <v>46543</v>
      </c>
      <c r="L15" s="375"/>
      <c r="M15" s="373">
        <f t="shared" ref="M15:M20" si="2">E15</f>
        <v>32916</v>
      </c>
      <c r="N15" s="373"/>
      <c r="O15" s="373"/>
      <c r="P15" s="373">
        <f t="shared" ref="P15:P20" si="3">IF($M15&gt;$U$10,($M15-$U$10)*$W$10,"ERROR")</f>
        <v>4187.3999999999996</v>
      </c>
      <c r="Q15" s="373"/>
      <c r="R15" s="373">
        <f t="shared" ref="R15:R20" si="4">SUM(M15:P15)</f>
        <v>37103.4</v>
      </c>
      <c r="S15" s="376"/>
      <c r="U15" s="377"/>
      <c r="V15" s="378"/>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V15" s="313"/>
      <c r="AW15" s="313"/>
      <c r="AX15" s="313"/>
      <c r="AY15" s="313"/>
      <c r="AZ15" s="313"/>
      <c r="BA15" s="313"/>
      <c r="BB15" s="313"/>
      <c r="BC15" s="313"/>
      <c r="BD15" s="313"/>
      <c r="BE15" s="313"/>
      <c r="BF15" s="313"/>
      <c r="BG15" s="313"/>
      <c r="BH15" s="313"/>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row>
    <row r="16" spans="1:108" ht="15.5" x14ac:dyDescent="0.35">
      <c r="A16" s="308"/>
      <c r="B16" s="379"/>
      <c r="C16" s="380"/>
      <c r="D16" s="372" t="s">
        <v>145</v>
      </c>
      <c r="E16" s="373">
        <v>34822</v>
      </c>
      <c r="F16" s="374"/>
      <c r="G16" s="373">
        <f t="shared" ref="G16:G20" si="5">IF($M16&gt;$U$10,($E16-$U$10)*$W$10,"ERROR")</f>
        <v>4473.3</v>
      </c>
      <c r="H16" s="373"/>
      <c r="I16" s="373">
        <f t="shared" si="0"/>
        <v>9986.9495999999999</v>
      </c>
      <c r="J16" s="373"/>
      <c r="K16" s="373">
        <f t="shared" si="1"/>
        <v>49282</v>
      </c>
      <c r="L16" s="375"/>
      <c r="M16" s="373">
        <f t="shared" si="2"/>
        <v>34822</v>
      </c>
      <c r="N16" s="373"/>
      <c r="O16" s="373"/>
      <c r="P16" s="373">
        <f t="shared" si="3"/>
        <v>4473.3</v>
      </c>
      <c r="Q16" s="373"/>
      <c r="R16" s="373">
        <f t="shared" si="4"/>
        <v>39295.300000000003</v>
      </c>
      <c r="S16" s="376"/>
      <c r="U16" s="377"/>
      <c r="V16" s="378"/>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D16" s="313"/>
      <c r="BE16" s="313"/>
      <c r="BF16" s="313"/>
      <c r="BG16" s="31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row>
    <row r="17" spans="1:23" s="313" customFormat="1" ht="15.5" x14ac:dyDescent="0.35">
      <c r="A17" s="308"/>
      <c r="B17" s="379"/>
      <c r="C17" s="380"/>
      <c r="D17" s="372" t="s">
        <v>146</v>
      </c>
      <c r="E17" s="373">
        <v>37101</v>
      </c>
      <c r="F17" s="374"/>
      <c r="G17" s="373">
        <f t="shared" si="5"/>
        <v>4815.1499999999996</v>
      </c>
      <c r="H17" s="373"/>
      <c r="I17" s="373">
        <f t="shared" si="0"/>
        <v>10640.566800000001</v>
      </c>
      <c r="J17" s="373"/>
      <c r="K17" s="373">
        <f t="shared" si="1"/>
        <v>52557</v>
      </c>
      <c r="L17" s="375"/>
      <c r="M17" s="373">
        <f t="shared" si="2"/>
        <v>37101</v>
      </c>
      <c r="N17" s="373"/>
      <c r="O17" s="373"/>
      <c r="P17" s="373">
        <f t="shared" si="3"/>
        <v>4815.1499999999996</v>
      </c>
      <c r="Q17" s="373"/>
      <c r="R17" s="373">
        <f t="shared" si="4"/>
        <v>41916.15</v>
      </c>
      <c r="S17" s="376"/>
      <c r="U17" s="377"/>
      <c r="V17" s="378"/>
    </row>
    <row r="18" spans="1:23" s="313" customFormat="1" ht="15.5" x14ac:dyDescent="0.35">
      <c r="A18" s="308"/>
      <c r="B18" s="379"/>
      <c r="C18" s="380"/>
      <c r="D18" s="372" t="s">
        <v>147</v>
      </c>
      <c r="E18" s="373">
        <v>39555</v>
      </c>
      <c r="F18" s="374"/>
      <c r="G18" s="373">
        <f t="shared" si="5"/>
        <v>5183.25</v>
      </c>
      <c r="H18" s="373"/>
      <c r="I18" s="373">
        <f t="shared" si="0"/>
        <v>11344.374</v>
      </c>
      <c r="J18" s="373"/>
      <c r="K18" s="373">
        <f t="shared" si="1"/>
        <v>56082</v>
      </c>
      <c r="L18" s="375"/>
      <c r="M18" s="373">
        <f t="shared" si="2"/>
        <v>39555</v>
      </c>
      <c r="N18" s="373"/>
      <c r="O18" s="373"/>
      <c r="P18" s="373">
        <f t="shared" si="3"/>
        <v>5183.25</v>
      </c>
      <c r="Q18" s="373"/>
      <c r="R18" s="373">
        <f t="shared" si="4"/>
        <v>44738.25</v>
      </c>
      <c r="S18" s="376"/>
      <c r="U18" s="377"/>
      <c r="V18" s="378"/>
      <c r="W18" s="339"/>
    </row>
    <row r="19" spans="1:23" s="313" customFormat="1" ht="15.5" x14ac:dyDescent="0.35">
      <c r="A19" s="308"/>
      <c r="B19" s="379"/>
      <c r="C19" s="380"/>
      <c r="D19" s="372" t="s">
        <v>148</v>
      </c>
      <c r="E19" s="373">
        <v>42057</v>
      </c>
      <c r="F19" s="374"/>
      <c r="G19" s="373">
        <f t="shared" si="5"/>
        <v>5558.55</v>
      </c>
      <c r="H19" s="373"/>
      <c r="I19" s="373">
        <f t="shared" si="0"/>
        <v>12061.9476</v>
      </c>
      <c r="J19" s="373"/>
      <c r="K19" s="373">
        <f t="shared" si="1"/>
        <v>59678</v>
      </c>
      <c r="L19" s="375"/>
      <c r="M19" s="373">
        <f t="shared" si="2"/>
        <v>42057</v>
      </c>
      <c r="N19" s="373"/>
      <c r="O19" s="373"/>
      <c r="P19" s="373">
        <f t="shared" si="3"/>
        <v>5558.55</v>
      </c>
      <c r="Q19" s="373"/>
      <c r="R19" s="373">
        <f t="shared" si="4"/>
        <v>47615.55</v>
      </c>
      <c r="S19" s="376"/>
      <c r="U19" s="377"/>
      <c r="V19" s="378"/>
      <c r="W19" s="339"/>
    </row>
    <row r="20" spans="1:23" s="313" customFormat="1" ht="15.5" x14ac:dyDescent="0.35">
      <c r="A20" s="308"/>
      <c r="B20" s="379"/>
      <c r="C20" s="380"/>
      <c r="D20" s="372" t="s">
        <v>149</v>
      </c>
      <c r="E20" s="373">
        <v>45351</v>
      </c>
      <c r="F20" s="374"/>
      <c r="G20" s="373">
        <f t="shared" si="5"/>
        <v>6052.65</v>
      </c>
      <c r="H20" s="373"/>
      <c r="I20" s="373">
        <f t="shared" si="0"/>
        <v>13006.666800000001</v>
      </c>
      <c r="J20" s="373"/>
      <c r="K20" s="373">
        <f t="shared" si="1"/>
        <v>64411</v>
      </c>
      <c r="L20" s="375"/>
      <c r="M20" s="373">
        <f t="shared" si="2"/>
        <v>45351</v>
      </c>
      <c r="N20" s="373"/>
      <c r="O20" s="373"/>
      <c r="P20" s="373">
        <f t="shared" si="3"/>
        <v>6052.65</v>
      </c>
      <c r="Q20" s="373"/>
      <c r="R20" s="373">
        <f t="shared" si="4"/>
        <v>51403.65</v>
      </c>
      <c r="S20" s="376"/>
      <c r="U20" s="377"/>
      <c r="V20" s="378"/>
      <c r="W20" s="339"/>
    </row>
    <row r="21" spans="1:23" s="313" customFormat="1" ht="15.5" x14ac:dyDescent="0.35">
      <c r="A21" s="308"/>
      <c r="B21" s="381"/>
      <c r="C21" s="382"/>
      <c r="D21" s="383"/>
      <c r="E21" s="384"/>
      <c r="F21" s="385"/>
      <c r="G21" s="384"/>
      <c r="H21" s="384"/>
      <c r="I21" s="384"/>
      <c r="J21" s="384"/>
      <c r="K21" s="384"/>
      <c r="L21" s="386"/>
      <c r="M21" s="384"/>
      <c r="N21" s="384"/>
      <c r="O21" s="384"/>
      <c r="P21" s="384"/>
      <c r="Q21" s="384"/>
      <c r="R21" s="384"/>
      <c r="S21" s="387"/>
      <c r="U21" s="388"/>
      <c r="V21" s="378"/>
      <c r="W21" s="339"/>
    </row>
    <row r="22" spans="1:23" s="313" customFormat="1" ht="15.5" x14ac:dyDescent="0.35">
      <c r="A22" s="308"/>
      <c r="B22" s="379"/>
      <c r="C22" s="380"/>
      <c r="D22" s="372"/>
      <c r="E22" s="373"/>
      <c r="F22" s="374"/>
      <c r="G22" s="373"/>
      <c r="H22" s="373"/>
      <c r="I22" s="373"/>
      <c r="J22" s="373"/>
      <c r="K22" s="373"/>
      <c r="L22" s="375"/>
      <c r="M22" s="373"/>
      <c r="N22" s="373"/>
      <c r="O22" s="373"/>
      <c r="P22" s="373"/>
      <c r="Q22" s="373"/>
      <c r="R22" s="373"/>
      <c r="S22" s="376"/>
      <c r="U22" s="388"/>
      <c r="V22" s="378"/>
      <c r="W22" s="339"/>
    </row>
    <row r="23" spans="1:23" s="313" customFormat="1" ht="15.5" x14ac:dyDescent="0.35">
      <c r="A23" s="308"/>
      <c r="B23" s="958" t="s">
        <v>150</v>
      </c>
      <c r="C23" s="959"/>
      <c r="D23" s="372" t="s">
        <v>151</v>
      </c>
      <c r="E23" s="373">
        <v>47472</v>
      </c>
      <c r="F23" s="374"/>
      <c r="G23" s="373">
        <f>IF($M23&gt;$U$10,($E23-$U$10)*$W$10,"ERROR")</f>
        <v>6370.8</v>
      </c>
      <c r="H23" s="373"/>
      <c r="I23" s="373">
        <f>$E23*$V$12</f>
        <v>13614.9696</v>
      </c>
      <c r="J23" s="373"/>
      <c r="K23" s="373">
        <f>E23+ROUND(G23,0)+ROUND(I23,0)</f>
        <v>67458</v>
      </c>
      <c r="L23" s="375"/>
      <c r="M23" s="373">
        <f>E23</f>
        <v>47472</v>
      </c>
      <c r="N23" s="373"/>
      <c r="O23" s="373"/>
      <c r="P23" s="373">
        <f>IF($M23&gt;$U$10,($M23-$U$10)*$W$10,"ERROR")</f>
        <v>6370.8</v>
      </c>
      <c r="Q23" s="373"/>
      <c r="R23" s="373">
        <f>SUM(M23:P23)</f>
        <v>53842.8</v>
      </c>
      <c r="S23" s="376"/>
      <c r="U23" s="377"/>
      <c r="V23" s="378"/>
      <c r="W23" s="339"/>
    </row>
    <row r="24" spans="1:23" s="313" customFormat="1" ht="15.5" x14ac:dyDescent="0.35">
      <c r="A24" s="308"/>
      <c r="B24" s="379"/>
      <c r="C24" s="380"/>
      <c r="D24" s="372" t="s">
        <v>152</v>
      </c>
      <c r="E24" s="373">
        <v>49232</v>
      </c>
      <c r="F24" s="374"/>
      <c r="G24" s="373">
        <f>IF($M24&gt;$U$10,($E24-$U$10)*$W$10,"ERROR")</f>
        <v>6634.8</v>
      </c>
      <c r="H24" s="373"/>
      <c r="I24" s="373">
        <f>$E24*$V$12</f>
        <v>14119.7376</v>
      </c>
      <c r="J24" s="373"/>
      <c r="K24" s="373">
        <f>E24+ROUND(G24,0)+ROUND(I24,0)</f>
        <v>69987</v>
      </c>
      <c r="L24" s="375"/>
      <c r="M24" s="373">
        <f>E24</f>
        <v>49232</v>
      </c>
      <c r="N24" s="373"/>
      <c r="O24" s="373"/>
      <c r="P24" s="373">
        <f>IF($M24&gt;$U$10,($M24-$U$10)*$W$10,"ERROR")</f>
        <v>6634.8</v>
      </c>
      <c r="Q24" s="373"/>
      <c r="R24" s="373">
        <f>SUM(M24:P24)</f>
        <v>55866.8</v>
      </c>
      <c r="S24" s="376"/>
      <c r="U24" s="377"/>
      <c r="V24" s="378"/>
      <c r="W24" s="339"/>
    </row>
    <row r="25" spans="1:23" s="313" customFormat="1" ht="15.5" x14ac:dyDescent="0.35">
      <c r="A25" s="308"/>
      <c r="B25" s="379"/>
      <c r="C25" s="380"/>
      <c r="D25" s="372" t="s">
        <v>153</v>
      </c>
      <c r="E25" s="373">
        <v>51047</v>
      </c>
      <c r="F25" s="374"/>
      <c r="G25" s="373">
        <f>IF($M25&gt;$U$10,($E25-$U$10)*$W$10,"ERROR")</f>
        <v>6907.05</v>
      </c>
      <c r="H25" s="373"/>
      <c r="I25" s="373">
        <f>$E25*$V$12</f>
        <v>14640.2796</v>
      </c>
      <c r="J25" s="373"/>
      <c r="K25" s="373">
        <f>E25+ROUND(G25,0)+ROUND(I25,0)</f>
        <v>72594</v>
      </c>
      <c r="L25" s="375"/>
      <c r="M25" s="373">
        <f>E25</f>
        <v>51047</v>
      </c>
      <c r="N25" s="373"/>
      <c r="O25" s="373"/>
      <c r="P25" s="373">
        <f>IF($M25&gt;$U$10,($M25-$U$10)*$W$10,"ERROR")</f>
        <v>6907.05</v>
      </c>
      <c r="Q25" s="373"/>
      <c r="R25" s="373">
        <f>SUM(M25:P25)</f>
        <v>57954.05</v>
      </c>
      <c r="S25" s="376"/>
      <c r="U25" s="377"/>
      <c r="V25" s="378"/>
      <c r="W25" s="339"/>
    </row>
    <row r="26" spans="1:23" s="313" customFormat="1" ht="15.5" x14ac:dyDescent="0.35">
      <c r="A26" s="308"/>
      <c r="B26" s="381"/>
      <c r="C26" s="382"/>
      <c r="D26" s="383"/>
      <c r="E26" s="384"/>
      <c r="F26" s="384"/>
      <c r="G26" s="384"/>
      <c r="H26" s="384"/>
      <c r="I26" s="384"/>
      <c r="J26" s="384"/>
      <c r="K26" s="384"/>
      <c r="L26" s="386"/>
      <c r="M26" s="384"/>
      <c r="N26" s="384"/>
      <c r="O26" s="384"/>
      <c r="P26" s="384"/>
      <c r="Q26" s="384"/>
      <c r="R26" s="384"/>
      <c r="S26" s="387"/>
      <c r="U26" s="388"/>
      <c r="V26" s="378"/>
      <c r="W26" s="339"/>
    </row>
    <row r="27" spans="1:23" s="313" customFormat="1" ht="15.5" x14ac:dyDescent="0.35">
      <c r="A27" s="308"/>
      <c r="B27" s="390"/>
      <c r="C27" s="380"/>
      <c r="D27" s="380"/>
      <c r="E27" s="380"/>
      <c r="F27" s="380"/>
      <c r="G27" s="380"/>
      <c r="H27" s="380"/>
      <c r="I27" s="380"/>
      <c r="J27" s="380"/>
      <c r="K27" s="380"/>
      <c r="L27" s="375"/>
      <c r="M27" s="391"/>
      <c r="N27" s="391"/>
      <c r="O27" s="373"/>
      <c r="P27" s="373"/>
      <c r="Q27" s="373"/>
      <c r="R27" s="373"/>
      <c r="S27" s="376"/>
      <c r="U27" s="388"/>
      <c r="V27" s="378"/>
      <c r="W27" s="339"/>
    </row>
    <row r="28" spans="1:23" s="313" customFormat="1" ht="15.5" x14ac:dyDescent="0.35">
      <c r="A28" s="308"/>
      <c r="B28" s="958" t="s">
        <v>154</v>
      </c>
      <c r="C28" s="959"/>
      <c r="D28" s="389">
        <v>1</v>
      </c>
      <c r="E28" s="373">
        <v>22600</v>
      </c>
      <c r="F28" s="374"/>
      <c r="G28" s="373">
        <f t="shared" ref="G28:G33" si="6">IF($M28&gt;$U$10,($E28-$U$10)*$W$10,"ERROR")</f>
        <v>2640</v>
      </c>
      <c r="H28" s="373"/>
      <c r="I28" s="373">
        <f t="shared" ref="I28:I33" si="7">$E28*$V$12</f>
        <v>6481.68</v>
      </c>
      <c r="J28" s="373"/>
      <c r="K28" s="373">
        <f t="shared" ref="K28:K33" si="8">E28+ROUND(G28,0)+ROUND(I28,0)</f>
        <v>31722</v>
      </c>
      <c r="L28" s="375"/>
      <c r="M28" s="373">
        <f t="shared" ref="M28:M33" si="9">E28</f>
        <v>22600</v>
      </c>
      <c r="N28" s="373"/>
      <c r="O28" s="373"/>
      <c r="P28" s="373">
        <f t="shared" ref="P28:P33" si="10">IF($M28&gt;$U$10,($M28-$U$10)*$W$10,"ERROR")</f>
        <v>2640</v>
      </c>
      <c r="Q28" s="373"/>
      <c r="R28" s="373">
        <f t="shared" ref="R28:R33" si="11">SUM(M28:P28)</f>
        <v>25240</v>
      </c>
      <c r="S28" s="376"/>
      <c r="U28" s="377"/>
      <c r="V28" s="378"/>
      <c r="W28" s="339"/>
    </row>
    <row r="29" spans="1:23" s="313" customFormat="1" ht="15.5" x14ac:dyDescent="0.35">
      <c r="A29" s="308"/>
      <c r="B29" s="392"/>
      <c r="C29" s="380"/>
      <c r="D29" s="389">
        <v>2</v>
      </c>
      <c r="E29" s="373">
        <v>25193</v>
      </c>
      <c r="F29" s="374"/>
      <c r="G29" s="373">
        <f t="shared" si="6"/>
        <v>3028.95</v>
      </c>
      <c r="H29" s="373"/>
      <c r="I29" s="373">
        <f t="shared" si="7"/>
        <v>7225.3523999999998</v>
      </c>
      <c r="J29" s="373"/>
      <c r="K29" s="373">
        <f t="shared" si="8"/>
        <v>35447</v>
      </c>
      <c r="L29" s="375"/>
      <c r="M29" s="373">
        <f t="shared" si="9"/>
        <v>25193</v>
      </c>
      <c r="N29" s="373"/>
      <c r="O29" s="373"/>
      <c r="P29" s="373">
        <f t="shared" si="10"/>
        <v>3028.95</v>
      </c>
      <c r="Q29" s="373"/>
      <c r="R29" s="373">
        <f t="shared" si="11"/>
        <v>28221.95</v>
      </c>
      <c r="S29" s="376"/>
      <c r="U29" s="377"/>
      <c r="V29" s="378"/>
      <c r="W29" s="339"/>
    </row>
    <row r="30" spans="1:23" s="313" customFormat="1" ht="15.5" x14ac:dyDescent="0.35">
      <c r="A30" s="308"/>
      <c r="B30" s="393"/>
      <c r="C30" s="380"/>
      <c r="D30" s="389">
        <v>3</v>
      </c>
      <c r="E30" s="373">
        <v>27785</v>
      </c>
      <c r="F30" s="374"/>
      <c r="G30" s="373">
        <f t="shared" si="6"/>
        <v>3417.75</v>
      </c>
      <c r="H30" s="373"/>
      <c r="I30" s="373">
        <f t="shared" si="7"/>
        <v>7968.7380000000003</v>
      </c>
      <c r="J30" s="373"/>
      <c r="K30" s="373">
        <f t="shared" si="8"/>
        <v>39172</v>
      </c>
      <c r="L30" s="375"/>
      <c r="M30" s="373">
        <f t="shared" si="9"/>
        <v>27785</v>
      </c>
      <c r="N30" s="373"/>
      <c r="O30" s="373"/>
      <c r="P30" s="373">
        <f t="shared" si="10"/>
        <v>3417.75</v>
      </c>
      <c r="Q30" s="373"/>
      <c r="R30" s="373">
        <f t="shared" si="11"/>
        <v>31202.75</v>
      </c>
      <c r="S30" s="376"/>
      <c r="U30" s="377"/>
      <c r="V30" s="378"/>
      <c r="W30" s="339"/>
    </row>
    <row r="31" spans="1:23" s="313" customFormat="1" ht="15.5" x14ac:dyDescent="0.35">
      <c r="A31" s="308"/>
      <c r="B31" s="393"/>
      <c r="C31" s="380"/>
      <c r="D31" s="389">
        <v>4</v>
      </c>
      <c r="E31" s="373">
        <v>30071</v>
      </c>
      <c r="F31" s="374"/>
      <c r="G31" s="373">
        <f t="shared" si="6"/>
        <v>3760.6499999999996</v>
      </c>
      <c r="H31" s="373"/>
      <c r="I31" s="373">
        <f t="shared" si="7"/>
        <v>8624.3628000000008</v>
      </c>
      <c r="J31" s="373"/>
      <c r="K31" s="373">
        <f t="shared" si="8"/>
        <v>42456</v>
      </c>
      <c r="L31" s="375"/>
      <c r="M31" s="373">
        <f t="shared" si="9"/>
        <v>30071</v>
      </c>
      <c r="N31" s="373"/>
      <c r="O31" s="373"/>
      <c r="P31" s="373">
        <f t="shared" si="10"/>
        <v>3760.6499999999996</v>
      </c>
      <c r="Q31" s="373"/>
      <c r="R31" s="373">
        <f t="shared" si="11"/>
        <v>33831.65</v>
      </c>
      <c r="S31" s="376"/>
      <c r="U31" s="377"/>
      <c r="V31" s="378"/>
      <c r="W31" s="339"/>
    </row>
    <row r="32" spans="1:23" s="313" customFormat="1" ht="15.5" x14ac:dyDescent="0.35">
      <c r="A32" s="308"/>
      <c r="B32" s="394"/>
      <c r="C32" s="380"/>
      <c r="D32" s="389">
        <v>5</v>
      </c>
      <c r="E32" s="373">
        <v>32666</v>
      </c>
      <c r="F32" s="374"/>
      <c r="G32" s="373">
        <f t="shared" si="6"/>
        <v>4149.8999999999996</v>
      </c>
      <c r="H32" s="373"/>
      <c r="I32" s="373">
        <f t="shared" si="7"/>
        <v>9368.6088</v>
      </c>
      <c r="J32" s="373"/>
      <c r="K32" s="373">
        <f t="shared" si="8"/>
        <v>46185</v>
      </c>
      <c r="L32" s="375"/>
      <c r="M32" s="373">
        <f t="shared" si="9"/>
        <v>32666</v>
      </c>
      <c r="N32" s="373"/>
      <c r="O32" s="373"/>
      <c r="P32" s="373">
        <f t="shared" si="10"/>
        <v>4149.8999999999996</v>
      </c>
      <c r="Q32" s="373"/>
      <c r="R32" s="373">
        <f t="shared" si="11"/>
        <v>36815.9</v>
      </c>
      <c r="S32" s="376"/>
      <c r="U32" s="377"/>
      <c r="V32" s="378"/>
      <c r="W32" s="339"/>
    </row>
    <row r="33" spans="1:23" s="313" customFormat="1" ht="15.5" x14ac:dyDescent="0.35">
      <c r="A33" s="308"/>
      <c r="B33" s="394"/>
      <c r="C33" s="380"/>
      <c r="D33" s="389">
        <v>6</v>
      </c>
      <c r="E33" s="373">
        <v>35258</v>
      </c>
      <c r="F33" s="374"/>
      <c r="G33" s="373">
        <f t="shared" si="6"/>
        <v>4538.7</v>
      </c>
      <c r="H33" s="373"/>
      <c r="I33" s="373">
        <f t="shared" si="7"/>
        <v>10111.9944</v>
      </c>
      <c r="J33" s="373"/>
      <c r="K33" s="373">
        <f t="shared" si="8"/>
        <v>49909</v>
      </c>
      <c r="L33" s="375"/>
      <c r="M33" s="373">
        <f t="shared" si="9"/>
        <v>35258</v>
      </c>
      <c r="N33" s="373"/>
      <c r="O33" s="373"/>
      <c r="P33" s="373">
        <f t="shared" si="10"/>
        <v>4538.7</v>
      </c>
      <c r="Q33" s="373"/>
      <c r="R33" s="373">
        <f t="shared" si="11"/>
        <v>39796.699999999997</v>
      </c>
      <c r="S33" s="376"/>
      <c r="U33" s="377"/>
      <c r="V33" s="378"/>
      <c r="W33" s="339"/>
    </row>
    <row r="34" spans="1:23" s="313" customFormat="1" ht="15.5" x14ac:dyDescent="0.35">
      <c r="A34" s="308"/>
      <c r="B34" s="394"/>
      <c r="C34" s="380"/>
      <c r="D34" s="389"/>
      <c r="E34" s="395"/>
      <c r="F34" s="395"/>
      <c r="G34" s="395"/>
      <c r="H34" s="395"/>
      <c r="I34" s="395"/>
      <c r="J34" s="395"/>
      <c r="K34" s="395"/>
      <c r="L34" s="396"/>
      <c r="M34" s="395"/>
      <c r="N34" s="395"/>
      <c r="O34" s="395"/>
      <c r="P34" s="395"/>
      <c r="Q34" s="395"/>
      <c r="R34" s="395"/>
      <c r="S34" s="376"/>
      <c r="U34" s="388"/>
      <c r="V34" s="397"/>
    </row>
    <row r="35" spans="1:23" s="313" customFormat="1" ht="15.5" x14ac:dyDescent="0.35">
      <c r="A35" s="308"/>
      <c r="B35" s="394"/>
      <c r="C35" s="380"/>
      <c r="D35" s="389"/>
      <c r="E35" s="395"/>
      <c r="F35" s="395"/>
      <c r="G35" s="395"/>
      <c r="H35" s="395"/>
      <c r="I35" s="395"/>
      <c r="J35" s="395"/>
      <c r="K35" s="395"/>
      <c r="L35" s="396"/>
      <c r="M35" s="395"/>
      <c r="N35" s="395"/>
      <c r="O35" s="395"/>
      <c r="P35" s="395"/>
      <c r="Q35" s="395"/>
      <c r="R35" s="395"/>
      <c r="S35" s="376"/>
      <c r="U35" s="388"/>
      <c r="V35" s="397"/>
    </row>
    <row r="36" spans="1:23" s="313" customFormat="1" ht="16" thickBot="1" x14ac:dyDescent="0.4">
      <c r="A36" s="308"/>
      <c r="B36" s="398"/>
      <c r="C36" s="399"/>
      <c r="D36" s="400"/>
      <c r="E36" s="401"/>
      <c r="F36" s="401"/>
      <c r="G36" s="401"/>
      <c r="H36" s="401"/>
      <c r="I36" s="401"/>
      <c r="J36" s="401"/>
      <c r="K36" s="401"/>
      <c r="L36" s="402"/>
      <c r="M36" s="403"/>
      <c r="N36" s="401"/>
      <c r="O36" s="401"/>
      <c r="P36" s="401"/>
      <c r="Q36" s="401"/>
      <c r="R36" s="401"/>
      <c r="S36" s="404"/>
      <c r="U36" s="388"/>
    </row>
    <row r="37" spans="1:23" s="313" customFormat="1" ht="13.5" thickBot="1" x14ac:dyDescent="0.35">
      <c r="A37" s="326"/>
      <c r="B37" s="405"/>
      <c r="C37" s="406"/>
      <c r="D37" s="407"/>
      <c r="E37" s="408"/>
      <c r="F37" s="408"/>
      <c r="G37" s="408"/>
      <c r="H37" s="408"/>
      <c r="S37" s="326"/>
    </row>
    <row r="38" spans="1:23" s="313" customFormat="1" ht="13" x14ac:dyDescent="0.3">
      <c r="A38" s="308" t="s">
        <v>155</v>
      </c>
      <c r="B38" s="409" t="s">
        <v>156</v>
      </c>
      <c r="C38" s="410"/>
      <c r="D38" s="411"/>
      <c r="E38" s="412"/>
      <c r="F38" s="412"/>
      <c r="G38" s="413"/>
      <c r="H38" s="408"/>
    </row>
    <row r="39" spans="1:23" s="313" customFormat="1" x14ac:dyDescent="0.25">
      <c r="A39" s="326"/>
      <c r="B39" s="414"/>
      <c r="C39" s="415"/>
      <c r="D39" s="416"/>
      <c r="E39" s="417"/>
      <c r="F39" s="417"/>
      <c r="G39" s="418"/>
      <c r="H39" s="326"/>
    </row>
    <row r="40" spans="1:23" s="313" customFormat="1" x14ac:dyDescent="0.25">
      <c r="A40" s="326"/>
      <c r="B40" s="414" t="s">
        <v>157</v>
      </c>
      <c r="C40" s="415"/>
      <c r="D40" s="416"/>
      <c r="E40" s="417"/>
      <c r="F40" s="417"/>
      <c r="G40" s="418"/>
      <c r="H40" s="326" t="s">
        <v>158</v>
      </c>
    </row>
    <row r="41" spans="1:23" s="313" customFormat="1" x14ac:dyDescent="0.25">
      <c r="A41" s="326"/>
      <c r="B41" s="414" t="s">
        <v>159</v>
      </c>
      <c r="C41" s="415"/>
      <c r="D41" s="416"/>
      <c r="E41" s="419">
        <v>702</v>
      </c>
      <c r="F41" s="417"/>
      <c r="G41" s="418"/>
      <c r="H41" s="326"/>
    </row>
    <row r="42" spans="1:23" s="313" customFormat="1" x14ac:dyDescent="0.25">
      <c r="A42" s="326"/>
      <c r="B42" s="414" t="s">
        <v>160</v>
      </c>
      <c r="C42" s="415"/>
      <c r="D42" s="416"/>
      <c r="E42" s="419">
        <v>3478</v>
      </c>
      <c r="F42" s="417"/>
      <c r="G42" s="418"/>
      <c r="H42" s="326"/>
    </row>
    <row r="43" spans="1:23" s="313" customFormat="1" x14ac:dyDescent="0.25">
      <c r="A43" s="326"/>
      <c r="B43" s="414"/>
      <c r="C43" s="415"/>
      <c r="D43" s="416"/>
      <c r="E43" s="419"/>
      <c r="F43" s="417"/>
      <c r="G43" s="418"/>
      <c r="H43" s="326"/>
    </row>
    <row r="44" spans="1:23" s="313" customFormat="1" x14ac:dyDescent="0.25">
      <c r="A44" s="326"/>
      <c r="B44" s="414" t="s">
        <v>161</v>
      </c>
      <c r="C44" s="420"/>
      <c r="D44" s="421"/>
      <c r="E44" s="419"/>
      <c r="F44" s="420"/>
      <c r="G44" s="422"/>
      <c r="H44" s="326" t="s">
        <v>162</v>
      </c>
    </row>
    <row r="45" spans="1:23" s="313" customFormat="1" x14ac:dyDescent="0.25">
      <c r="A45" s="326"/>
      <c r="B45" s="414" t="s">
        <v>159</v>
      </c>
      <c r="C45" s="420"/>
      <c r="D45" s="421"/>
      <c r="E45" s="419">
        <v>3527</v>
      </c>
      <c r="F45" s="420"/>
      <c r="G45" s="418"/>
      <c r="H45" s="326"/>
    </row>
    <row r="46" spans="1:23" s="313" customFormat="1" x14ac:dyDescent="0.25">
      <c r="A46" s="326"/>
      <c r="B46" s="414" t="s">
        <v>160</v>
      </c>
      <c r="C46" s="420"/>
      <c r="D46" s="421"/>
      <c r="E46" s="419">
        <v>8610</v>
      </c>
      <c r="F46" s="420"/>
      <c r="G46" s="418"/>
      <c r="H46" s="326"/>
    </row>
    <row r="47" spans="1:23" s="313" customFormat="1" x14ac:dyDescent="0.25">
      <c r="A47" s="326"/>
      <c r="B47" s="414"/>
      <c r="C47" s="420"/>
      <c r="D47" s="421"/>
      <c r="E47" s="419"/>
      <c r="F47" s="420"/>
      <c r="G47" s="418"/>
      <c r="H47" s="326"/>
    </row>
    <row r="48" spans="1:23" s="313" customFormat="1" x14ac:dyDescent="0.25">
      <c r="A48" s="326"/>
      <c r="B48" s="414" t="s">
        <v>163</v>
      </c>
      <c r="C48" s="420"/>
      <c r="D48" s="421"/>
      <c r="E48" s="419"/>
      <c r="F48" s="420"/>
      <c r="G48" s="418"/>
      <c r="H48" s="326" t="s">
        <v>164</v>
      </c>
    </row>
    <row r="49" spans="2:118" s="313" customFormat="1" x14ac:dyDescent="0.25">
      <c r="B49" s="414" t="s">
        <v>159</v>
      </c>
      <c r="C49" s="421"/>
      <c r="D49" s="421"/>
      <c r="E49" s="419">
        <v>10173</v>
      </c>
      <c r="F49" s="420"/>
      <c r="G49" s="418"/>
      <c r="H49" s="326"/>
      <c r="V49" s="397"/>
    </row>
    <row r="50" spans="2:118" s="313" customFormat="1" x14ac:dyDescent="0.25">
      <c r="B50" s="414" t="s">
        <v>160</v>
      </c>
      <c r="C50" s="421"/>
      <c r="D50" s="421"/>
      <c r="E50" s="419">
        <v>17215</v>
      </c>
      <c r="F50" s="420"/>
      <c r="G50" s="418"/>
      <c r="H50" s="326"/>
      <c r="V50" s="397"/>
    </row>
    <row r="51" spans="2:118" s="313" customFormat="1" x14ac:dyDescent="0.25">
      <c r="B51" s="423"/>
      <c r="C51" s="421"/>
      <c r="D51" s="421"/>
      <c r="E51" s="419"/>
      <c r="F51" s="420"/>
      <c r="G51" s="418"/>
      <c r="H51" s="326"/>
    </row>
    <row r="52" spans="2:118" s="313" customFormat="1" x14ac:dyDescent="0.25">
      <c r="B52" s="423" t="s">
        <v>165</v>
      </c>
      <c r="C52" s="421"/>
      <c r="D52" s="421"/>
      <c r="E52" s="419">
        <v>2786</v>
      </c>
      <c r="F52" s="420"/>
      <c r="G52" s="418"/>
      <c r="H52" s="326"/>
    </row>
    <row r="53" spans="2:118" s="313" customFormat="1" ht="13" thickBot="1" x14ac:dyDescent="0.3">
      <c r="B53" s="424" t="s">
        <v>166</v>
      </c>
      <c r="C53" s="425"/>
      <c r="D53" s="425"/>
      <c r="E53" s="426">
        <v>5496</v>
      </c>
      <c r="F53" s="427"/>
      <c r="G53" s="428"/>
      <c r="H53" s="326"/>
      <c r="V53" s="397"/>
    </row>
    <row r="54" spans="2:118" s="313" customFormat="1" x14ac:dyDescent="0.25">
      <c r="V54" s="397"/>
    </row>
    <row r="55" spans="2:118" x14ac:dyDescent="0.25">
      <c r="B55" s="313"/>
      <c r="C55" s="313"/>
      <c r="D55" s="313"/>
      <c r="E55" s="313"/>
      <c r="F55" s="313"/>
      <c r="G55" s="313"/>
      <c r="H55" s="313"/>
      <c r="I55" s="313"/>
      <c r="J55" s="313"/>
      <c r="K55" s="313"/>
      <c r="L55" s="313"/>
      <c r="M55" s="313"/>
      <c r="N55" s="313"/>
      <c r="O55" s="313"/>
      <c r="P55" s="313"/>
      <c r="Q55" s="313"/>
      <c r="R55" s="313"/>
      <c r="S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row>
    <row r="56" spans="2:118" s="313" customFormat="1" x14ac:dyDescent="0.25">
      <c r="V56" s="397"/>
    </row>
    <row r="57" spans="2:118" s="313" customFormat="1" x14ac:dyDescent="0.25">
      <c r="V57" s="397"/>
    </row>
    <row r="58" spans="2:118" s="313" customFormat="1" x14ac:dyDescent="0.25"/>
    <row r="59" spans="2:118" s="313" customFormat="1" x14ac:dyDescent="0.25"/>
    <row r="60" spans="2:118" s="313" customFormat="1" x14ac:dyDescent="0.25"/>
    <row r="61" spans="2:118" s="313" customFormat="1" x14ac:dyDescent="0.25"/>
    <row r="62" spans="2:118" s="313" customFormat="1" x14ac:dyDescent="0.25"/>
    <row r="63" spans="2:118" s="313" customFormat="1" x14ac:dyDescent="0.25"/>
    <row r="64" spans="2:118" s="313" customFormat="1" x14ac:dyDescent="0.25"/>
    <row r="65" spans="2:100" x14ac:dyDescent="0.25">
      <c r="B65" s="313"/>
      <c r="C65" s="313"/>
      <c r="D65" s="313"/>
      <c r="E65" s="313"/>
      <c r="F65" s="313"/>
      <c r="G65" s="313"/>
      <c r="H65" s="313"/>
      <c r="I65" s="313"/>
      <c r="J65" s="313"/>
      <c r="K65" s="313"/>
      <c r="L65" s="313"/>
      <c r="M65" s="313"/>
      <c r="N65" s="313"/>
      <c r="O65" s="313"/>
      <c r="P65" s="313"/>
      <c r="Q65" s="313"/>
      <c r="R65" s="313"/>
      <c r="S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row>
    <row r="66" spans="2:100" x14ac:dyDescent="0.25">
      <c r="B66" s="313"/>
      <c r="C66" s="313"/>
      <c r="D66" s="313"/>
      <c r="E66" s="313"/>
      <c r="F66" s="313"/>
      <c r="G66" s="313"/>
      <c r="H66" s="313"/>
      <c r="I66" s="313"/>
      <c r="J66" s="313"/>
      <c r="K66" s="313"/>
      <c r="L66" s="313"/>
      <c r="M66" s="313"/>
      <c r="N66" s="313"/>
      <c r="O66" s="313"/>
      <c r="P66" s="313"/>
      <c r="Q66" s="313"/>
      <c r="R66" s="313"/>
      <c r="S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row>
    <row r="67" spans="2:100" x14ac:dyDescent="0.25">
      <c r="B67" s="313"/>
      <c r="C67" s="313"/>
      <c r="D67" s="313"/>
      <c r="E67" s="313"/>
      <c r="F67" s="313"/>
      <c r="G67" s="313"/>
      <c r="H67" s="313"/>
      <c r="I67" s="313"/>
      <c r="J67" s="313"/>
      <c r="K67" s="313"/>
      <c r="L67" s="313"/>
      <c r="M67" s="313"/>
      <c r="N67" s="313"/>
      <c r="O67" s="313"/>
      <c r="P67" s="313"/>
      <c r="Q67" s="313"/>
      <c r="R67" s="313"/>
      <c r="S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row>
    <row r="68" spans="2:100" x14ac:dyDescent="0.25">
      <c r="B68" s="313"/>
      <c r="C68" s="313"/>
      <c r="D68" s="313"/>
      <c r="E68" s="313"/>
      <c r="F68" s="313"/>
      <c r="G68" s="313"/>
      <c r="H68" s="313"/>
      <c r="I68" s="313"/>
      <c r="J68" s="313"/>
      <c r="K68" s="313"/>
      <c r="L68" s="313"/>
      <c r="M68" s="313"/>
      <c r="N68" s="313"/>
      <c r="O68" s="313"/>
      <c r="P68" s="313"/>
      <c r="Q68" s="313"/>
      <c r="R68" s="313"/>
      <c r="S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row>
    <row r="69" spans="2:100" x14ac:dyDescent="0.25">
      <c r="B69" s="313"/>
      <c r="C69" s="313"/>
      <c r="D69" s="313"/>
      <c r="E69" s="313"/>
      <c r="F69" s="313"/>
      <c r="G69" s="313"/>
      <c r="H69" s="313"/>
      <c r="I69" s="313"/>
      <c r="J69" s="313"/>
      <c r="K69" s="313"/>
      <c r="L69" s="313"/>
      <c r="M69" s="313"/>
      <c r="N69" s="313"/>
      <c r="O69" s="313"/>
      <c r="P69" s="313"/>
      <c r="Q69" s="313"/>
      <c r="R69" s="313"/>
      <c r="S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row>
    <row r="70" spans="2:100" x14ac:dyDescent="0.25">
      <c r="B70" s="313"/>
      <c r="C70" s="313"/>
      <c r="D70" s="313"/>
      <c r="E70" s="313"/>
      <c r="F70" s="313"/>
      <c r="G70" s="313"/>
      <c r="H70" s="313"/>
      <c r="I70" s="313"/>
      <c r="J70" s="313"/>
      <c r="K70" s="313"/>
      <c r="L70" s="313"/>
      <c r="M70" s="313"/>
      <c r="N70" s="313"/>
      <c r="O70" s="313"/>
      <c r="P70" s="313"/>
      <c r="Q70" s="313"/>
      <c r="R70" s="313"/>
      <c r="S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row>
    <row r="71" spans="2:100" x14ac:dyDescent="0.25">
      <c r="B71" s="313"/>
      <c r="C71" s="313"/>
      <c r="D71" s="313"/>
      <c r="E71" s="313"/>
      <c r="F71" s="313"/>
      <c r="G71" s="313"/>
      <c r="H71" s="313"/>
      <c r="I71" s="313"/>
      <c r="J71" s="313"/>
      <c r="K71" s="313"/>
      <c r="L71" s="313"/>
      <c r="M71" s="313"/>
      <c r="N71" s="313"/>
      <c r="O71" s="313"/>
      <c r="P71" s="313"/>
      <c r="Q71" s="313"/>
      <c r="R71" s="313"/>
      <c r="S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c r="BI71" s="313"/>
      <c r="BJ71" s="313"/>
      <c r="BK71" s="313"/>
      <c r="BL71" s="313"/>
      <c r="BM71" s="313"/>
      <c r="BN71" s="313"/>
      <c r="BO71" s="313"/>
      <c r="BP71" s="313"/>
      <c r="BQ71" s="313"/>
      <c r="BR71" s="313"/>
      <c r="BS71" s="313"/>
      <c r="BT71" s="313"/>
      <c r="BU71" s="313"/>
      <c r="BV71" s="313"/>
      <c r="BW71" s="313"/>
      <c r="BX71" s="313"/>
      <c r="BY71" s="313"/>
      <c r="BZ71" s="313"/>
      <c r="CA71" s="313"/>
      <c r="CB71" s="313"/>
      <c r="CC71" s="313"/>
      <c r="CD71" s="313"/>
      <c r="CE71" s="313"/>
      <c r="CF71" s="313"/>
      <c r="CG71" s="313"/>
      <c r="CH71" s="313"/>
      <c r="CI71" s="313"/>
      <c r="CJ71" s="313"/>
      <c r="CK71" s="313"/>
      <c r="CL71" s="313"/>
      <c r="CM71" s="313"/>
      <c r="CN71" s="313"/>
      <c r="CO71" s="313"/>
      <c r="CP71" s="313"/>
      <c r="CQ71" s="313"/>
      <c r="CR71" s="313"/>
      <c r="CS71" s="313"/>
      <c r="CT71" s="313"/>
      <c r="CU71" s="313"/>
      <c r="CV71" s="313"/>
    </row>
    <row r="72" spans="2:100" x14ac:dyDescent="0.25">
      <c r="B72" s="313"/>
      <c r="C72" s="313"/>
      <c r="D72" s="313"/>
      <c r="E72" s="313"/>
      <c r="F72" s="313"/>
      <c r="G72" s="313"/>
      <c r="H72" s="313"/>
      <c r="I72" s="313"/>
      <c r="J72" s="313"/>
      <c r="K72" s="313"/>
      <c r="L72" s="313"/>
      <c r="M72" s="313"/>
      <c r="N72" s="313"/>
      <c r="O72" s="313"/>
      <c r="P72" s="313"/>
      <c r="Q72" s="313"/>
      <c r="R72" s="313"/>
      <c r="S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c r="BI72" s="313"/>
      <c r="BJ72" s="313"/>
      <c r="BK72" s="313"/>
      <c r="BL72" s="313"/>
      <c r="BM72" s="313"/>
      <c r="BN72" s="313"/>
      <c r="BO72" s="313"/>
      <c r="BP72" s="313"/>
      <c r="BQ72" s="313"/>
      <c r="BR72" s="313"/>
      <c r="BS72" s="313"/>
      <c r="BT72" s="313"/>
      <c r="BU72" s="313"/>
      <c r="BV72" s="313"/>
      <c r="BW72" s="313"/>
      <c r="BX72" s="313"/>
      <c r="BY72" s="313"/>
      <c r="BZ72" s="313"/>
      <c r="CA72" s="313"/>
      <c r="CB72" s="313"/>
      <c r="CC72" s="313"/>
      <c r="CD72" s="313"/>
      <c r="CE72" s="313"/>
      <c r="CF72" s="313"/>
      <c r="CG72" s="313"/>
      <c r="CH72" s="313"/>
      <c r="CI72" s="313"/>
      <c r="CJ72" s="313"/>
      <c r="CK72" s="313"/>
      <c r="CL72" s="313"/>
      <c r="CM72" s="313"/>
      <c r="CN72" s="313"/>
      <c r="CO72" s="313"/>
      <c r="CP72" s="313"/>
      <c r="CQ72" s="313"/>
      <c r="CR72" s="313"/>
      <c r="CS72" s="313"/>
      <c r="CT72" s="313"/>
      <c r="CU72" s="313"/>
      <c r="CV72" s="313"/>
    </row>
    <row r="73" spans="2:100" x14ac:dyDescent="0.25">
      <c r="B73" s="313"/>
      <c r="C73" s="313"/>
      <c r="D73" s="313"/>
      <c r="E73" s="313"/>
      <c r="F73" s="313"/>
      <c r="G73" s="313"/>
      <c r="H73" s="313"/>
      <c r="I73" s="313"/>
      <c r="J73" s="313"/>
      <c r="K73" s="313"/>
      <c r="L73" s="313"/>
      <c r="M73" s="313"/>
      <c r="N73" s="313"/>
      <c r="O73" s="313"/>
      <c r="P73" s="313"/>
      <c r="Q73" s="313"/>
      <c r="R73" s="313"/>
      <c r="S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c r="BI73" s="313"/>
      <c r="BJ73" s="313"/>
      <c r="BK73" s="313"/>
      <c r="BL73" s="313"/>
      <c r="BM73" s="313"/>
      <c r="BN73" s="313"/>
      <c r="BO73" s="313"/>
      <c r="BP73" s="313"/>
      <c r="BQ73" s="313"/>
      <c r="BR73" s="313"/>
      <c r="BS73" s="313"/>
      <c r="BT73" s="313"/>
      <c r="BU73" s="313"/>
      <c r="BV73" s="313"/>
      <c r="BW73" s="313"/>
      <c r="BX73" s="313"/>
      <c r="BY73" s="313"/>
      <c r="BZ73" s="313"/>
      <c r="CA73" s="313"/>
      <c r="CB73" s="313"/>
      <c r="CC73" s="313"/>
      <c r="CD73" s="313"/>
      <c r="CE73" s="313"/>
      <c r="CF73" s="313"/>
      <c r="CG73" s="313"/>
      <c r="CH73" s="313"/>
      <c r="CI73" s="313"/>
      <c r="CJ73" s="313"/>
      <c r="CK73" s="313"/>
      <c r="CL73" s="313"/>
      <c r="CM73" s="313"/>
      <c r="CN73" s="313"/>
      <c r="CO73" s="313"/>
      <c r="CP73" s="313"/>
      <c r="CQ73" s="313"/>
      <c r="CR73" s="313"/>
      <c r="CS73" s="313"/>
      <c r="CT73" s="313"/>
      <c r="CU73" s="313"/>
      <c r="CV73" s="313"/>
    </row>
    <row r="74" spans="2:100" x14ac:dyDescent="0.25">
      <c r="B74" s="313"/>
      <c r="C74" s="313"/>
      <c r="D74" s="313"/>
      <c r="E74" s="313"/>
      <c r="F74" s="313"/>
      <c r="G74" s="313"/>
      <c r="H74" s="313"/>
      <c r="I74" s="313"/>
      <c r="J74" s="313"/>
      <c r="K74" s="313"/>
      <c r="L74" s="313"/>
      <c r="M74" s="313"/>
      <c r="N74" s="313"/>
      <c r="O74" s="313"/>
      <c r="P74" s="313"/>
      <c r="Q74" s="313"/>
      <c r="R74" s="313"/>
      <c r="S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c r="BI74" s="313"/>
      <c r="BJ74" s="313"/>
      <c r="BK74" s="313"/>
      <c r="BL74" s="313"/>
      <c r="BM74" s="313"/>
      <c r="BN74" s="313"/>
      <c r="BO74" s="313"/>
      <c r="BP74" s="313"/>
      <c r="BQ74" s="313"/>
      <c r="BR74" s="313"/>
      <c r="BS74" s="313"/>
      <c r="BT74" s="313"/>
      <c r="BU74" s="313"/>
      <c r="BV74" s="313"/>
      <c r="BW74" s="313"/>
      <c r="BX74" s="313"/>
      <c r="BY74" s="313"/>
      <c r="BZ74" s="313"/>
      <c r="CA74" s="313"/>
      <c r="CB74" s="313"/>
      <c r="CC74" s="313"/>
      <c r="CD74" s="313"/>
      <c r="CE74" s="313"/>
      <c r="CF74" s="313"/>
      <c r="CG74" s="313"/>
      <c r="CH74" s="313"/>
      <c r="CI74" s="313"/>
      <c r="CJ74" s="313"/>
      <c r="CK74" s="313"/>
      <c r="CL74" s="313"/>
      <c r="CM74" s="313"/>
      <c r="CN74" s="313"/>
      <c r="CO74" s="313"/>
      <c r="CP74" s="313"/>
      <c r="CQ74" s="313"/>
      <c r="CR74" s="313"/>
      <c r="CS74" s="313"/>
      <c r="CT74" s="313"/>
      <c r="CU74" s="313"/>
      <c r="CV74" s="313"/>
    </row>
    <row r="75" spans="2:100" x14ac:dyDescent="0.25">
      <c r="B75" s="313"/>
      <c r="C75" s="313"/>
      <c r="D75" s="313"/>
      <c r="E75" s="313"/>
      <c r="F75" s="313"/>
      <c r="G75" s="313"/>
      <c r="H75" s="313"/>
      <c r="I75" s="313"/>
      <c r="J75" s="313"/>
      <c r="K75" s="313"/>
      <c r="L75" s="313"/>
      <c r="M75" s="313"/>
      <c r="N75" s="313"/>
      <c r="O75" s="313"/>
      <c r="P75" s="313"/>
      <c r="Q75" s="313"/>
      <c r="R75" s="313"/>
      <c r="S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c r="BI75" s="313"/>
      <c r="BJ75" s="313"/>
      <c r="BK75" s="313"/>
      <c r="BL75" s="313"/>
      <c r="BM75" s="313"/>
      <c r="BN75" s="313"/>
      <c r="BO75" s="313"/>
      <c r="BP75" s="313"/>
      <c r="BQ75" s="313"/>
      <c r="BR75" s="313"/>
      <c r="BS75" s="313"/>
      <c r="BT75" s="313"/>
      <c r="BU75" s="313"/>
      <c r="BV75" s="313"/>
      <c r="BW75" s="313"/>
      <c r="BX75" s="313"/>
      <c r="BY75" s="313"/>
      <c r="BZ75" s="313"/>
      <c r="CA75" s="313"/>
      <c r="CB75" s="313"/>
      <c r="CC75" s="313"/>
      <c r="CD75" s="313"/>
      <c r="CE75" s="313"/>
      <c r="CF75" s="313"/>
      <c r="CG75" s="313"/>
      <c r="CH75" s="313"/>
      <c r="CI75" s="313"/>
      <c r="CJ75" s="313"/>
      <c r="CK75" s="313"/>
      <c r="CL75" s="313"/>
      <c r="CM75" s="313"/>
      <c r="CN75" s="313"/>
      <c r="CO75" s="313"/>
      <c r="CP75" s="313"/>
      <c r="CQ75" s="313"/>
      <c r="CR75" s="313"/>
      <c r="CS75" s="313"/>
      <c r="CT75" s="313"/>
      <c r="CU75" s="313"/>
      <c r="CV75" s="313"/>
    </row>
    <row r="76" spans="2:100" x14ac:dyDescent="0.25">
      <c r="B76" s="313"/>
      <c r="C76" s="313"/>
      <c r="D76" s="313"/>
      <c r="E76" s="313"/>
      <c r="F76" s="313"/>
      <c r="G76" s="313"/>
      <c r="H76" s="313"/>
      <c r="I76" s="313"/>
      <c r="J76" s="313"/>
      <c r="K76" s="313"/>
      <c r="L76" s="313"/>
      <c r="M76" s="313"/>
      <c r="N76" s="313"/>
      <c r="O76" s="313"/>
      <c r="P76" s="313"/>
      <c r="Q76" s="313"/>
      <c r="R76" s="313"/>
      <c r="S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c r="BI76" s="313"/>
      <c r="BJ76" s="313"/>
      <c r="BK76" s="313"/>
      <c r="BL76" s="313"/>
      <c r="BM76" s="313"/>
      <c r="BN76" s="313"/>
      <c r="BO76" s="313"/>
      <c r="BP76" s="313"/>
      <c r="BQ76" s="313"/>
      <c r="BR76" s="313"/>
      <c r="BS76" s="313"/>
      <c r="BT76" s="313"/>
      <c r="BU76" s="313"/>
      <c r="BV76" s="313"/>
      <c r="BW76" s="313"/>
      <c r="BX76" s="313"/>
      <c r="BY76" s="313"/>
      <c r="BZ76" s="313"/>
      <c r="CA76" s="313"/>
      <c r="CB76" s="313"/>
      <c r="CC76" s="313"/>
      <c r="CD76" s="313"/>
      <c r="CE76" s="313"/>
      <c r="CF76" s="313"/>
      <c r="CG76" s="313"/>
      <c r="CH76" s="313"/>
      <c r="CI76" s="313"/>
      <c r="CJ76" s="313"/>
      <c r="CK76" s="313"/>
      <c r="CL76" s="313"/>
      <c r="CM76" s="313"/>
      <c r="CN76" s="313"/>
      <c r="CO76" s="313"/>
      <c r="CP76" s="313"/>
      <c r="CQ76" s="313"/>
      <c r="CR76" s="313"/>
      <c r="CS76" s="313"/>
      <c r="CT76" s="313"/>
      <c r="CU76" s="313"/>
      <c r="CV76" s="313"/>
    </row>
    <row r="77" spans="2:100" x14ac:dyDescent="0.25">
      <c r="B77" s="313"/>
      <c r="C77" s="313"/>
      <c r="D77" s="313"/>
      <c r="E77" s="313"/>
      <c r="F77" s="313"/>
      <c r="G77" s="313"/>
      <c r="H77" s="313"/>
      <c r="I77" s="313"/>
      <c r="J77" s="313"/>
      <c r="K77" s="313"/>
      <c r="L77" s="313"/>
      <c r="M77" s="313"/>
      <c r="N77" s="313"/>
      <c r="O77" s="313"/>
      <c r="P77" s="313"/>
      <c r="Q77" s="313"/>
      <c r="R77" s="313"/>
      <c r="S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c r="BI77" s="313"/>
      <c r="BJ77" s="313"/>
      <c r="BK77" s="313"/>
      <c r="BL77" s="313"/>
      <c r="BM77" s="313"/>
      <c r="BN77" s="313"/>
      <c r="BO77" s="313"/>
      <c r="BP77" s="313"/>
      <c r="BQ77" s="313"/>
      <c r="BR77" s="313"/>
      <c r="BS77" s="313"/>
      <c r="BT77" s="313"/>
      <c r="BU77" s="313"/>
      <c r="BV77" s="313"/>
      <c r="BW77" s="313"/>
      <c r="BX77" s="313"/>
      <c r="BY77" s="313"/>
      <c r="BZ77" s="313"/>
      <c r="CA77" s="313"/>
      <c r="CB77" s="313"/>
      <c r="CC77" s="313"/>
      <c r="CD77" s="313"/>
      <c r="CE77" s="313"/>
      <c r="CF77" s="313"/>
      <c r="CG77" s="313"/>
      <c r="CH77" s="313"/>
      <c r="CI77" s="313"/>
      <c r="CJ77" s="313"/>
      <c r="CK77" s="313"/>
      <c r="CL77" s="313"/>
      <c r="CM77" s="313"/>
      <c r="CN77" s="313"/>
      <c r="CO77" s="313"/>
      <c r="CP77" s="313"/>
      <c r="CQ77" s="313"/>
      <c r="CR77" s="313"/>
      <c r="CS77" s="313"/>
      <c r="CT77" s="313"/>
      <c r="CU77" s="313"/>
      <c r="CV77" s="313"/>
    </row>
    <row r="78" spans="2:100" x14ac:dyDescent="0.25">
      <c r="B78" s="313"/>
      <c r="C78" s="313"/>
      <c r="D78" s="313"/>
      <c r="E78" s="313"/>
      <c r="F78" s="313"/>
      <c r="G78" s="313"/>
      <c r="H78" s="313"/>
      <c r="I78" s="313"/>
      <c r="J78" s="313"/>
      <c r="K78" s="313"/>
      <c r="L78" s="313"/>
      <c r="M78" s="313"/>
      <c r="N78" s="313"/>
      <c r="O78" s="313"/>
      <c r="P78" s="313"/>
      <c r="Q78" s="313"/>
      <c r="R78" s="313"/>
      <c r="S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c r="BI78" s="313"/>
      <c r="BJ78" s="313"/>
      <c r="BK78" s="313"/>
      <c r="BL78" s="313"/>
      <c r="BM78" s="313"/>
      <c r="BN78" s="313"/>
      <c r="BO78" s="313"/>
      <c r="BP78" s="313"/>
      <c r="BQ78" s="313"/>
      <c r="BR78" s="313"/>
      <c r="BS78" s="313"/>
      <c r="BT78" s="313"/>
      <c r="BU78" s="313"/>
      <c r="BV78" s="313"/>
      <c r="BW78" s="313"/>
      <c r="BX78" s="313"/>
      <c r="BY78" s="313"/>
      <c r="BZ78" s="313"/>
      <c r="CA78" s="313"/>
      <c r="CB78" s="313"/>
      <c r="CC78" s="313"/>
      <c r="CD78" s="313"/>
      <c r="CE78" s="313"/>
      <c r="CF78" s="313"/>
      <c r="CG78" s="313"/>
      <c r="CH78" s="313"/>
      <c r="CI78" s="313"/>
      <c r="CJ78" s="313"/>
      <c r="CK78" s="313"/>
      <c r="CL78" s="313"/>
      <c r="CM78" s="313"/>
      <c r="CN78" s="313"/>
      <c r="CO78" s="313"/>
      <c r="CP78" s="313"/>
      <c r="CQ78" s="313"/>
      <c r="CR78" s="313"/>
      <c r="CS78" s="313"/>
      <c r="CT78" s="313"/>
      <c r="CU78" s="313"/>
      <c r="CV78" s="313"/>
    </row>
    <row r="79" spans="2:100" x14ac:dyDescent="0.25">
      <c r="B79" s="313"/>
      <c r="C79" s="313"/>
      <c r="D79" s="313"/>
      <c r="E79" s="313"/>
      <c r="F79" s="313"/>
      <c r="G79" s="313"/>
      <c r="H79" s="313"/>
      <c r="I79" s="313"/>
      <c r="J79" s="313"/>
      <c r="K79" s="313"/>
      <c r="L79" s="313"/>
      <c r="M79" s="313"/>
      <c r="N79" s="313"/>
      <c r="O79" s="313"/>
      <c r="P79" s="313"/>
      <c r="Q79" s="313"/>
      <c r="R79" s="313"/>
      <c r="S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c r="BI79" s="313"/>
      <c r="BJ79" s="313"/>
      <c r="BK79" s="313"/>
      <c r="BL79" s="313"/>
      <c r="BM79" s="313"/>
      <c r="BN79" s="313"/>
      <c r="BO79" s="313"/>
      <c r="BP79" s="313"/>
      <c r="BQ79" s="313"/>
      <c r="BR79" s="313"/>
      <c r="BS79" s="313"/>
      <c r="BT79" s="313"/>
      <c r="BU79" s="313"/>
      <c r="BV79" s="313"/>
      <c r="BW79" s="313"/>
      <c r="BX79" s="313"/>
      <c r="BY79" s="313"/>
      <c r="BZ79" s="313"/>
      <c r="CA79" s="313"/>
      <c r="CB79" s="313"/>
      <c r="CC79" s="313"/>
      <c r="CD79" s="313"/>
      <c r="CE79" s="313"/>
      <c r="CF79" s="313"/>
      <c r="CG79" s="313"/>
      <c r="CH79" s="313"/>
      <c r="CI79" s="313"/>
      <c r="CJ79" s="313"/>
      <c r="CK79" s="313"/>
      <c r="CL79" s="313"/>
      <c r="CM79" s="313"/>
      <c r="CN79" s="313"/>
      <c r="CO79" s="313"/>
      <c r="CP79" s="313"/>
      <c r="CQ79" s="313"/>
      <c r="CR79" s="313"/>
      <c r="CS79" s="313"/>
      <c r="CT79" s="313"/>
      <c r="CU79" s="313"/>
      <c r="CV79" s="313"/>
    </row>
    <row r="80" spans="2:100" x14ac:dyDescent="0.25">
      <c r="B80" s="313"/>
      <c r="C80" s="313"/>
      <c r="D80" s="313"/>
      <c r="E80" s="313"/>
      <c r="F80" s="313"/>
      <c r="G80" s="313"/>
      <c r="H80" s="313"/>
      <c r="I80" s="313"/>
      <c r="J80" s="313"/>
      <c r="K80" s="313"/>
      <c r="L80" s="313"/>
      <c r="M80" s="313"/>
      <c r="N80" s="313"/>
      <c r="O80" s="313"/>
      <c r="P80" s="313"/>
      <c r="Q80" s="313"/>
      <c r="R80" s="313"/>
      <c r="S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c r="BI80" s="313"/>
      <c r="BJ80" s="313"/>
      <c r="BK80" s="313"/>
      <c r="BL80" s="313"/>
      <c r="BM80" s="313"/>
      <c r="BN80" s="313"/>
      <c r="BO80" s="313"/>
      <c r="BP80" s="313"/>
      <c r="BQ80" s="313"/>
      <c r="BR80" s="313"/>
      <c r="BS80" s="313"/>
      <c r="BT80" s="313"/>
      <c r="BU80" s="313"/>
      <c r="BV80" s="313"/>
      <c r="BW80" s="313"/>
      <c r="BX80" s="313"/>
      <c r="BY80" s="313"/>
      <c r="BZ80" s="313"/>
      <c r="CA80" s="313"/>
      <c r="CB80" s="313"/>
      <c r="CC80" s="313"/>
      <c r="CD80" s="313"/>
      <c r="CE80" s="313"/>
      <c r="CF80" s="313"/>
      <c r="CG80" s="313"/>
      <c r="CH80" s="313"/>
      <c r="CI80" s="313"/>
      <c r="CJ80" s="313"/>
      <c r="CK80" s="313"/>
      <c r="CL80" s="313"/>
      <c r="CM80" s="313"/>
      <c r="CN80" s="313"/>
      <c r="CO80" s="313"/>
      <c r="CP80" s="313"/>
      <c r="CQ80" s="313"/>
      <c r="CR80" s="313"/>
      <c r="CS80" s="313"/>
      <c r="CT80" s="313"/>
      <c r="CU80" s="313"/>
      <c r="CV80" s="313"/>
    </row>
    <row r="81" spans="2:100" x14ac:dyDescent="0.25">
      <c r="B81" s="313"/>
      <c r="C81" s="313"/>
      <c r="D81" s="313"/>
      <c r="E81" s="313"/>
      <c r="F81" s="313"/>
      <c r="G81" s="313"/>
      <c r="H81" s="313"/>
      <c r="I81" s="313"/>
      <c r="J81" s="313"/>
      <c r="K81" s="313"/>
      <c r="L81" s="313"/>
      <c r="M81" s="313"/>
      <c r="N81" s="313"/>
      <c r="O81" s="313"/>
      <c r="P81" s="313"/>
      <c r="Q81" s="313"/>
      <c r="R81" s="313"/>
      <c r="S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c r="BI81" s="313"/>
      <c r="BJ81" s="313"/>
      <c r="BK81" s="313"/>
      <c r="BL81" s="313"/>
      <c r="BM81" s="313"/>
      <c r="BN81" s="313"/>
      <c r="BO81" s="313"/>
      <c r="BP81" s="313"/>
      <c r="BQ81" s="313"/>
      <c r="BR81" s="313"/>
      <c r="BS81" s="313"/>
      <c r="BT81" s="313"/>
      <c r="BU81" s="313"/>
      <c r="BV81" s="313"/>
      <c r="BW81" s="313"/>
      <c r="BX81" s="313"/>
      <c r="BY81" s="313"/>
      <c r="BZ81" s="313"/>
      <c r="CA81" s="313"/>
      <c r="CB81" s="313"/>
      <c r="CC81" s="313"/>
      <c r="CD81" s="313"/>
      <c r="CE81" s="313"/>
      <c r="CF81" s="313"/>
      <c r="CG81" s="313"/>
      <c r="CH81" s="313"/>
      <c r="CI81" s="313"/>
      <c r="CJ81" s="313"/>
      <c r="CK81" s="313"/>
      <c r="CL81" s="313"/>
      <c r="CM81" s="313"/>
      <c r="CN81" s="313"/>
      <c r="CO81" s="313"/>
      <c r="CP81" s="313"/>
      <c r="CQ81" s="313"/>
      <c r="CR81" s="313"/>
      <c r="CS81" s="313"/>
      <c r="CT81" s="313"/>
      <c r="CU81" s="313"/>
      <c r="CV81" s="313"/>
    </row>
    <row r="82" spans="2:100" x14ac:dyDescent="0.25">
      <c r="B82" s="313"/>
      <c r="C82" s="313"/>
      <c r="D82" s="313"/>
      <c r="E82" s="313"/>
      <c r="F82" s="313"/>
      <c r="G82" s="313"/>
      <c r="H82" s="313"/>
      <c r="I82" s="313"/>
      <c r="J82" s="313"/>
      <c r="K82" s="313"/>
      <c r="L82" s="313"/>
      <c r="M82" s="313"/>
      <c r="N82" s="313"/>
      <c r="O82" s="313"/>
      <c r="P82" s="313"/>
      <c r="Q82" s="313"/>
      <c r="R82" s="313"/>
      <c r="S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c r="BI82" s="313"/>
      <c r="BJ82" s="313"/>
      <c r="BK82" s="313"/>
      <c r="BL82" s="313"/>
      <c r="BM82" s="313"/>
      <c r="BN82" s="313"/>
      <c r="BO82" s="313"/>
      <c r="BP82" s="313"/>
      <c r="BQ82" s="313"/>
      <c r="BR82" s="313"/>
      <c r="BS82" s="313"/>
      <c r="BT82" s="313"/>
      <c r="BU82" s="313"/>
      <c r="BV82" s="313"/>
      <c r="BW82" s="313"/>
      <c r="BX82" s="313"/>
      <c r="BY82" s="313"/>
      <c r="BZ82" s="313"/>
      <c r="CA82" s="313"/>
      <c r="CB82" s="313"/>
      <c r="CC82" s="313"/>
      <c r="CD82" s="313"/>
      <c r="CE82" s="313"/>
      <c r="CF82" s="313"/>
      <c r="CG82" s="313"/>
      <c r="CH82" s="313"/>
      <c r="CI82" s="313"/>
      <c r="CJ82" s="313"/>
      <c r="CK82" s="313"/>
      <c r="CL82" s="313"/>
      <c r="CM82" s="313"/>
      <c r="CN82" s="313"/>
      <c r="CO82" s="313"/>
      <c r="CP82" s="313"/>
      <c r="CQ82" s="313"/>
      <c r="CR82" s="313"/>
      <c r="CS82" s="313"/>
      <c r="CT82" s="313"/>
      <c r="CU82" s="313"/>
      <c r="CV82" s="313"/>
    </row>
    <row r="83" spans="2:100" x14ac:dyDescent="0.25">
      <c r="B83" s="313"/>
      <c r="C83" s="313"/>
      <c r="D83" s="313"/>
      <c r="E83" s="313"/>
      <c r="F83" s="313"/>
      <c r="G83" s="313"/>
      <c r="H83" s="313"/>
      <c r="I83" s="313"/>
      <c r="J83" s="313"/>
      <c r="K83" s="313"/>
      <c r="L83" s="313"/>
      <c r="M83" s="313"/>
      <c r="N83" s="313"/>
      <c r="O83" s="313"/>
      <c r="P83" s="313"/>
      <c r="Q83" s="313"/>
      <c r="R83" s="313"/>
      <c r="S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313"/>
      <c r="CR83" s="313"/>
      <c r="CS83" s="313"/>
      <c r="CT83" s="313"/>
      <c r="CU83" s="313"/>
      <c r="CV83" s="313"/>
    </row>
    <row r="84" spans="2:100" x14ac:dyDescent="0.25">
      <c r="B84" s="313"/>
      <c r="C84" s="313"/>
      <c r="D84" s="313"/>
      <c r="E84" s="313"/>
      <c r="F84" s="313"/>
      <c r="G84" s="313"/>
      <c r="H84" s="313"/>
      <c r="I84" s="313"/>
      <c r="J84" s="313"/>
      <c r="K84" s="313"/>
      <c r="L84" s="313"/>
      <c r="M84" s="313"/>
      <c r="N84" s="313"/>
      <c r="O84" s="313"/>
      <c r="P84" s="313"/>
      <c r="Q84" s="313"/>
      <c r="R84" s="313"/>
      <c r="S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c r="BI84" s="313"/>
      <c r="BJ84" s="313"/>
      <c r="BK84" s="313"/>
      <c r="BL84" s="313"/>
      <c r="BM84" s="313"/>
      <c r="BN84" s="313"/>
      <c r="BO84" s="313"/>
      <c r="BP84" s="313"/>
      <c r="BQ84" s="313"/>
      <c r="BR84" s="313"/>
      <c r="BS84" s="313"/>
      <c r="BT84" s="313"/>
      <c r="BU84" s="313"/>
      <c r="BV84" s="313"/>
      <c r="BW84" s="313"/>
      <c r="BX84" s="313"/>
      <c r="BY84" s="313"/>
      <c r="BZ84" s="313"/>
      <c r="CA84" s="313"/>
      <c r="CB84" s="313"/>
      <c r="CC84" s="313"/>
      <c r="CD84" s="313"/>
      <c r="CE84" s="313"/>
      <c r="CF84" s="313"/>
      <c r="CG84" s="313"/>
      <c r="CH84" s="313"/>
      <c r="CI84" s="313"/>
      <c r="CJ84" s="313"/>
      <c r="CK84" s="313"/>
      <c r="CL84" s="313"/>
      <c r="CM84" s="313"/>
      <c r="CN84" s="313"/>
      <c r="CO84" s="313"/>
      <c r="CP84" s="313"/>
      <c r="CQ84" s="313"/>
      <c r="CR84" s="313"/>
      <c r="CS84" s="313"/>
      <c r="CT84" s="313"/>
      <c r="CU84" s="313"/>
      <c r="CV84" s="313"/>
    </row>
    <row r="85" spans="2:100" x14ac:dyDescent="0.25">
      <c r="B85" s="313"/>
      <c r="C85" s="313"/>
      <c r="D85" s="313"/>
      <c r="E85" s="313"/>
      <c r="F85" s="313"/>
      <c r="G85" s="313"/>
      <c r="H85" s="313"/>
      <c r="I85" s="313"/>
      <c r="J85" s="313"/>
      <c r="K85" s="313"/>
      <c r="L85" s="313"/>
      <c r="M85" s="313"/>
      <c r="N85" s="313"/>
      <c r="O85" s="313"/>
      <c r="P85" s="313"/>
      <c r="Q85" s="313"/>
      <c r="R85" s="313"/>
      <c r="S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c r="BI85" s="313"/>
      <c r="BJ85" s="313"/>
      <c r="BK85" s="313"/>
      <c r="BL85" s="313"/>
      <c r="BM85" s="313"/>
      <c r="BN85" s="313"/>
      <c r="BO85" s="313"/>
      <c r="BP85" s="313"/>
      <c r="BQ85" s="313"/>
      <c r="BR85" s="313"/>
      <c r="BS85" s="313"/>
      <c r="BT85" s="313"/>
      <c r="BU85" s="313"/>
      <c r="BV85" s="313"/>
      <c r="BW85" s="313"/>
      <c r="BX85" s="313"/>
      <c r="BY85" s="313"/>
      <c r="BZ85" s="313"/>
      <c r="CA85" s="313"/>
      <c r="CB85" s="313"/>
      <c r="CC85" s="313"/>
      <c r="CD85" s="313"/>
      <c r="CE85" s="313"/>
      <c r="CF85" s="313"/>
      <c r="CG85" s="313"/>
      <c r="CH85" s="313"/>
      <c r="CI85" s="313"/>
      <c r="CJ85" s="313"/>
      <c r="CK85" s="313"/>
      <c r="CL85" s="313"/>
      <c r="CM85" s="313"/>
      <c r="CN85" s="313"/>
      <c r="CO85" s="313"/>
      <c r="CP85" s="313"/>
      <c r="CQ85" s="313"/>
      <c r="CR85" s="313"/>
      <c r="CS85" s="313"/>
      <c r="CT85" s="313"/>
      <c r="CU85" s="313"/>
      <c r="CV85" s="313"/>
    </row>
    <row r="86" spans="2:100" x14ac:dyDescent="0.25">
      <c r="B86" s="313"/>
      <c r="C86" s="313"/>
      <c r="D86" s="313"/>
      <c r="E86" s="313"/>
      <c r="F86" s="313"/>
      <c r="G86" s="313"/>
      <c r="H86" s="313"/>
      <c r="I86" s="313"/>
      <c r="J86" s="313"/>
      <c r="K86" s="313"/>
      <c r="L86" s="313"/>
      <c r="M86" s="313"/>
      <c r="N86" s="313"/>
      <c r="O86" s="313"/>
      <c r="P86" s="313"/>
      <c r="Q86" s="313"/>
      <c r="R86" s="313"/>
      <c r="S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c r="BI86" s="313"/>
      <c r="BJ86" s="313"/>
      <c r="BK86" s="313"/>
      <c r="BL86" s="313"/>
      <c r="BM86" s="313"/>
      <c r="BN86" s="313"/>
      <c r="BO86" s="313"/>
      <c r="BP86" s="313"/>
      <c r="BQ86" s="313"/>
      <c r="BR86" s="313"/>
      <c r="BS86" s="313"/>
      <c r="BT86" s="313"/>
      <c r="BU86" s="313"/>
      <c r="BV86" s="313"/>
      <c r="BW86" s="313"/>
      <c r="BX86" s="313"/>
      <c r="BY86" s="313"/>
      <c r="BZ86" s="313"/>
      <c r="CA86" s="313"/>
      <c r="CB86" s="313"/>
      <c r="CC86" s="313"/>
      <c r="CD86" s="313"/>
      <c r="CE86" s="313"/>
      <c r="CF86" s="313"/>
      <c r="CG86" s="313"/>
      <c r="CH86" s="313"/>
      <c r="CI86" s="313"/>
      <c r="CJ86" s="313"/>
      <c r="CK86" s="313"/>
      <c r="CL86" s="313"/>
      <c r="CM86" s="313"/>
      <c r="CN86" s="313"/>
      <c r="CO86" s="313"/>
      <c r="CP86" s="313"/>
      <c r="CQ86" s="313"/>
      <c r="CR86" s="313"/>
      <c r="CS86" s="313"/>
      <c r="CT86" s="313"/>
      <c r="CU86" s="313"/>
      <c r="CV86" s="313"/>
    </row>
    <row r="87" spans="2:100" x14ac:dyDescent="0.25">
      <c r="B87" s="313"/>
      <c r="C87" s="313"/>
      <c r="D87" s="313"/>
      <c r="E87" s="313"/>
      <c r="F87" s="313"/>
      <c r="G87" s="313"/>
      <c r="H87" s="313"/>
      <c r="I87" s="313"/>
      <c r="J87" s="313"/>
      <c r="K87" s="313"/>
      <c r="L87" s="313"/>
      <c r="M87" s="313"/>
      <c r="N87" s="313"/>
      <c r="O87" s="313"/>
      <c r="P87" s="313"/>
      <c r="Q87" s="313"/>
      <c r="R87" s="313"/>
      <c r="S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c r="BI87" s="313"/>
      <c r="BJ87" s="313"/>
      <c r="BK87" s="313"/>
      <c r="BL87" s="313"/>
      <c r="BM87" s="313"/>
      <c r="BN87" s="313"/>
      <c r="BO87" s="313"/>
      <c r="BP87" s="313"/>
      <c r="BQ87" s="313"/>
      <c r="BR87" s="313"/>
      <c r="BS87" s="313"/>
      <c r="BT87" s="313"/>
      <c r="BU87" s="313"/>
      <c r="BV87" s="313"/>
      <c r="BW87" s="313"/>
      <c r="BX87" s="313"/>
      <c r="BY87" s="313"/>
      <c r="BZ87" s="313"/>
      <c r="CA87" s="313"/>
      <c r="CB87" s="313"/>
      <c r="CC87" s="313"/>
      <c r="CD87" s="313"/>
      <c r="CE87" s="313"/>
      <c r="CF87" s="313"/>
      <c r="CG87" s="313"/>
      <c r="CH87" s="313"/>
      <c r="CI87" s="313"/>
      <c r="CJ87" s="313"/>
      <c r="CK87" s="313"/>
      <c r="CL87" s="313"/>
      <c r="CM87" s="313"/>
      <c r="CN87" s="313"/>
      <c r="CO87" s="313"/>
      <c r="CP87" s="313"/>
      <c r="CQ87" s="313"/>
      <c r="CR87" s="313"/>
      <c r="CS87" s="313"/>
      <c r="CT87" s="313"/>
      <c r="CU87" s="313"/>
      <c r="CV87" s="313"/>
    </row>
    <row r="88" spans="2:100" x14ac:dyDescent="0.25">
      <c r="B88" s="313"/>
      <c r="C88" s="313"/>
      <c r="D88" s="313"/>
      <c r="E88" s="313"/>
      <c r="F88" s="313"/>
      <c r="G88" s="313"/>
      <c r="H88" s="313"/>
      <c r="I88" s="313"/>
      <c r="J88" s="313"/>
      <c r="K88" s="313"/>
      <c r="L88" s="313"/>
      <c r="M88" s="313"/>
      <c r="N88" s="313"/>
      <c r="O88" s="313"/>
      <c r="P88" s="313"/>
      <c r="Q88" s="313"/>
      <c r="R88" s="313"/>
      <c r="S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c r="BI88" s="313"/>
      <c r="BJ88" s="313"/>
      <c r="BK88" s="313"/>
      <c r="BL88" s="313"/>
      <c r="BM88" s="313"/>
      <c r="BN88" s="313"/>
      <c r="BO88" s="313"/>
      <c r="BP88" s="313"/>
      <c r="BQ88" s="313"/>
      <c r="BR88" s="313"/>
      <c r="BS88" s="313"/>
      <c r="BT88" s="313"/>
      <c r="BU88" s="313"/>
      <c r="BV88" s="313"/>
      <c r="BW88" s="313"/>
      <c r="BX88" s="313"/>
      <c r="BY88" s="313"/>
      <c r="BZ88" s="313"/>
      <c r="CA88" s="313"/>
      <c r="CB88" s="313"/>
      <c r="CC88" s="313"/>
      <c r="CD88" s="313"/>
      <c r="CE88" s="313"/>
      <c r="CF88" s="313"/>
      <c r="CG88" s="313"/>
      <c r="CH88" s="313"/>
      <c r="CI88" s="313"/>
      <c r="CJ88" s="313"/>
      <c r="CK88" s="313"/>
      <c r="CL88" s="313"/>
      <c r="CM88" s="313"/>
      <c r="CN88" s="313"/>
      <c r="CO88" s="313"/>
      <c r="CP88" s="313"/>
      <c r="CQ88" s="313"/>
      <c r="CR88" s="313"/>
      <c r="CS88" s="313"/>
      <c r="CT88" s="313"/>
      <c r="CU88" s="313"/>
      <c r="CV88" s="313"/>
    </row>
    <row r="89" spans="2:100" x14ac:dyDescent="0.25">
      <c r="B89" s="313"/>
      <c r="C89" s="313"/>
      <c r="D89" s="313"/>
      <c r="E89" s="313"/>
      <c r="F89" s="313"/>
      <c r="G89" s="313"/>
      <c r="H89" s="313"/>
      <c r="I89" s="313"/>
      <c r="J89" s="313"/>
      <c r="K89" s="313"/>
      <c r="L89" s="313"/>
      <c r="M89" s="313"/>
      <c r="N89" s="313"/>
      <c r="O89" s="313"/>
      <c r="P89" s="313"/>
      <c r="Q89" s="313"/>
      <c r="R89" s="313"/>
      <c r="S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c r="CF89" s="313"/>
      <c r="CG89" s="313"/>
      <c r="CH89" s="313"/>
      <c r="CI89" s="313"/>
      <c r="CJ89" s="313"/>
      <c r="CK89" s="313"/>
      <c r="CL89" s="313"/>
      <c r="CM89" s="313"/>
      <c r="CN89" s="313"/>
      <c r="CO89" s="313"/>
      <c r="CP89" s="313"/>
      <c r="CQ89" s="313"/>
      <c r="CR89" s="313"/>
      <c r="CS89" s="313"/>
      <c r="CT89" s="313"/>
      <c r="CU89" s="313"/>
      <c r="CV89" s="313"/>
    </row>
    <row r="90" spans="2:100" x14ac:dyDescent="0.25">
      <c r="B90" s="313"/>
      <c r="C90" s="313"/>
      <c r="D90" s="313"/>
      <c r="E90" s="313"/>
      <c r="F90" s="313"/>
      <c r="G90" s="313"/>
      <c r="H90" s="313"/>
      <c r="I90" s="313"/>
      <c r="J90" s="313"/>
      <c r="K90" s="313"/>
      <c r="L90" s="313"/>
      <c r="M90" s="313"/>
      <c r="N90" s="313"/>
      <c r="O90" s="313"/>
      <c r="P90" s="313"/>
      <c r="Q90" s="313"/>
      <c r="R90" s="313"/>
      <c r="S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c r="CF90" s="313"/>
      <c r="CG90" s="313"/>
      <c r="CH90" s="313"/>
      <c r="CI90" s="313"/>
      <c r="CJ90" s="313"/>
      <c r="CK90" s="313"/>
      <c r="CL90" s="313"/>
      <c r="CM90" s="313"/>
      <c r="CN90" s="313"/>
      <c r="CO90" s="313"/>
      <c r="CP90" s="313"/>
      <c r="CQ90" s="313"/>
      <c r="CR90" s="313"/>
      <c r="CS90" s="313"/>
      <c r="CT90" s="313"/>
      <c r="CU90" s="313"/>
      <c r="CV90" s="313"/>
    </row>
    <row r="91" spans="2:100" x14ac:dyDescent="0.25">
      <c r="B91" s="313"/>
      <c r="C91" s="313"/>
      <c r="D91" s="313"/>
      <c r="E91" s="313"/>
      <c r="F91" s="313"/>
      <c r="G91" s="313"/>
      <c r="H91" s="313"/>
      <c r="I91" s="313"/>
      <c r="J91" s="313"/>
      <c r="K91" s="313"/>
      <c r="L91" s="313"/>
      <c r="M91" s="313"/>
      <c r="N91" s="313"/>
      <c r="O91" s="313"/>
      <c r="P91" s="313"/>
      <c r="Q91" s="313"/>
      <c r="R91" s="313"/>
      <c r="S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c r="CR91" s="313"/>
      <c r="CS91" s="313"/>
      <c r="CT91" s="313"/>
      <c r="CU91" s="313"/>
      <c r="CV91" s="313"/>
    </row>
    <row r="92" spans="2:100" x14ac:dyDescent="0.25">
      <c r="B92" s="313"/>
      <c r="C92" s="313"/>
      <c r="D92" s="313"/>
      <c r="E92" s="313"/>
      <c r="F92" s="313"/>
      <c r="G92" s="313"/>
      <c r="H92" s="313"/>
      <c r="I92" s="313"/>
      <c r="J92" s="313"/>
      <c r="K92" s="313"/>
      <c r="L92" s="313"/>
      <c r="M92" s="313"/>
      <c r="N92" s="313"/>
      <c r="O92" s="313"/>
      <c r="P92" s="313"/>
      <c r="Q92" s="313"/>
      <c r="R92" s="313"/>
      <c r="S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c r="CF92" s="313"/>
      <c r="CG92" s="313"/>
      <c r="CH92" s="313"/>
      <c r="CI92" s="313"/>
      <c r="CJ92" s="313"/>
      <c r="CK92" s="313"/>
      <c r="CL92" s="313"/>
      <c r="CM92" s="313"/>
      <c r="CN92" s="313"/>
      <c r="CO92" s="313"/>
      <c r="CP92" s="313"/>
      <c r="CQ92" s="313"/>
      <c r="CR92" s="313"/>
      <c r="CS92" s="313"/>
      <c r="CT92" s="313"/>
      <c r="CU92" s="313"/>
      <c r="CV92" s="313"/>
    </row>
    <row r="93" spans="2:100" x14ac:dyDescent="0.25">
      <c r="B93" s="313"/>
      <c r="C93" s="313"/>
      <c r="D93" s="313"/>
      <c r="E93" s="313"/>
      <c r="F93" s="313"/>
      <c r="G93" s="313"/>
      <c r="H93" s="313"/>
      <c r="I93" s="313"/>
      <c r="J93" s="313"/>
      <c r="K93" s="313"/>
      <c r="L93" s="313"/>
      <c r="M93" s="313"/>
      <c r="N93" s="313"/>
      <c r="O93" s="313"/>
      <c r="P93" s="313"/>
      <c r="Q93" s="313"/>
      <c r="R93" s="313"/>
      <c r="S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c r="CF93" s="313"/>
      <c r="CG93" s="313"/>
      <c r="CH93" s="313"/>
      <c r="CI93" s="313"/>
      <c r="CJ93" s="313"/>
      <c r="CK93" s="313"/>
      <c r="CL93" s="313"/>
      <c r="CM93" s="313"/>
      <c r="CN93" s="313"/>
      <c r="CO93" s="313"/>
      <c r="CP93" s="313"/>
      <c r="CQ93" s="313"/>
      <c r="CR93" s="313"/>
      <c r="CS93" s="313"/>
      <c r="CT93" s="313"/>
      <c r="CU93" s="313"/>
      <c r="CV93" s="313"/>
    </row>
    <row r="94" spans="2:100" x14ac:dyDescent="0.25">
      <c r="B94" s="313"/>
      <c r="C94" s="313"/>
      <c r="D94" s="313"/>
      <c r="E94" s="313"/>
      <c r="F94" s="313"/>
      <c r="G94" s="313"/>
      <c r="H94" s="313"/>
      <c r="I94" s="313"/>
      <c r="J94" s="313"/>
      <c r="K94" s="313"/>
      <c r="L94" s="313"/>
      <c r="M94" s="313"/>
      <c r="N94" s="313"/>
      <c r="O94" s="313"/>
      <c r="P94" s="313"/>
      <c r="Q94" s="313"/>
      <c r="R94" s="313"/>
      <c r="S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c r="BI94" s="313"/>
      <c r="BJ94" s="313"/>
      <c r="BK94" s="313"/>
      <c r="BL94" s="313"/>
      <c r="BM94" s="313"/>
      <c r="BN94" s="313"/>
      <c r="BO94" s="313"/>
      <c r="BP94" s="313"/>
      <c r="BQ94" s="313"/>
      <c r="BR94" s="313"/>
      <c r="BS94" s="313"/>
      <c r="BT94" s="313"/>
      <c r="BU94" s="313"/>
      <c r="BV94" s="313"/>
      <c r="BW94" s="313"/>
      <c r="BX94" s="313"/>
      <c r="BY94" s="313"/>
      <c r="BZ94" s="313"/>
      <c r="CA94" s="313"/>
      <c r="CB94" s="313"/>
      <c r="CC94" s="313"/>
      <c r="CD94" s="313"/>
      <c r="CE94" s="313"/>
      <c r="CF94" s="313"/>
      <c r="CG94" s="313"/>
      <c r="CH94" s="313"/>
      <c r="CI94" s="313"/>
      <c r="CJ94" s="313"/>
      <c r="CK94" s="313"/>
      <c r="CL94" s="313"/>
      <c r="CM94" s="313"/>
      <c r="CN94" s="313"/>
      <c r="CO94" s="313"/>
      <c r="CP94" s="313"/>
      <c r="CQ94" s="313"/>
      <c r="CR94" s="313"/>
      <c r="CS94" s="313"/>
      <c r="CT94" s="313"/>
      <c r="CU94" s="313"/>
      <c r="CV94" s="313"/>
    </row>
    <row r="95" spans="2:100" x14ac:dyDescent="0.25">
      <c r="B95" s="313"/>
      <c r="C95" s="313"/>
      <c r="D95" s="313"/>
      <c r="E95" s="313"/>
      <c r="F95" s="313"/>
      <c r="G95" s="313"/>
      <c r="H95" s="313"/>
      <c r="I95" s="313"/>
      <c r="J95" s="313"/>
      <c r="K95" s="313"/>
      <c r="L95" s="313"/>
      <c r="M95" s="313"/>
      <c r="N95" s="313"/>
      <c r="O95" s="313"/>
      <c r="P95" s="313"/>
      <c r="Q95" s="313"/>
      <c r="R95" s="313"/>
      <c r="S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3"/>
      <c r="AT95" s="313"/>
      <c r="AU95" s="313"/>
      <c r="AV95" s="313"/>
      <c r="AW95" s="313"/>
      <c r="AX95" s="313"/>
      <c r="AY95" s="313"/>
      <c r="AZ95" s="313"/>
      <c r="BA95" s="313"/>
      <c r="BB95" s="313"/>
      <c r="BC95" s="313"/>
      <c r="BD95" s="313"/>
      <c r="BE95" s="313"/>
      <c r="BF95" s="313"/>
      <c r="BG95" s="313"/>
      <c r="BH95" s="313"/>
      <c r="BI95" s="313"/>
      <c r="BJ95" s="313"/>
      <c r="BK95" s="313"/>
      <c r="BL95" s="313"/>
      <c r="BM95" s="313"/>
      <c r="BN95" s="313"/>
      <c r="BO95" s="313"/>
      <c r="BP95" s="313"/>
      <c r="BQ95" s="313"/>
      <c r="BR95" s="313"/>
      <c r="BS95" s="313"/>
      <c r="BT95" s="313"/>
      <c r="BU95" s="313"/>
      <c r="BV95" s="313"/>
      <c r="BW95" s="313"/>
      <c r="BX95" s="313"/>
      <c r="BY95" s="313"/>
      <c r="BZ95" s="313"/>
      <c r="CA95" s="313"/>
      <c r="CB95" s="313"/>
      <c r="CC95" s="313"/>
      <c r="CD95" s="313"/>
      <c r="CE95" s="313"/>
      <c r="CF95" s="313"/>
      <c r="CG95" s="313"/>
      <c r="CH95" s="313"/>
      <c r="CI95" s="313"/>
      <c r="CJ95" s="313"/>
      <c r="CK95" s="313"/>
      <c r="CL95" s="313"/>
      <c r="CM95" s="313"/>
      <c r="CN95" s="313"/>
      <c r="CO95" s="313"/>
      <c r="CP95" s="313"/>
      <c r="CQ95" s="313"/>
      <c r="CR95" s="313"/>
      <c r="CS95" s="313"/>
      <c r="CT95" s="313"/>
      <c r="CU95" s="313"/>
      <c r="CV95" s="313"/>
    </row>
    <row r="96" spans="2:100" x14ac:dyDescent="0.25">
      <c r="B96" s="313"/>
      <c r="C96" s="313"/>
      <c r="D96" s="313"/>
      <c r="E96" s="313"/>
      <c r="F96" s="313"/>
      <c r="G96" s="313"/>
      <c r="H96" s="313"/>
      <c r="I96" s="313"/>
      <c r="J96" s="313"/>
      <c r="K96" s="313"/>
      <c r="L96" s="313"/>
      <c r="M96" s="313"/>
      <c r="N96" s="313"/>
      <c r="O96" s="313"/>
      <c r="P96" s="313"/>
      <c r="Q96" s="313"/>
      <c r="R96" s="313"/>
      <c r="S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c r="BD96" s="313"/>
      <c r="BE96" s="313"/>
      <c r="BF96" s="313"/>
      <c r="BG96" s="313"/>
      <c r="BH96" s="313"/>
      <c r="BI96" s="313"/>
      <c r="BJ96" s="313"/>
      <c r="BK96" s="313"/>
      <c r="BL96" s="313"/>
      <c r="BM96" s="313"/>
      <c r="BN96" s="313"/>
      <c r="BO96" s="313"/>
      <c r="BP96" s="313"/>
      <c r="BQ96" s="313"/>
      <c r="BR96" s="313"/>
      <c r="BS96" s="313"/>
      <c r="BT96" s="313"/>
      <c r="BU96" s="313"/>
      <c r="BV96" s="313"/>
      <c r="BW96" s="313"/>
      <c r="BX96" s="313"/>
      <c r="BY96" s="313"/>
      <c r="BZ96" s="313"/>
      <c r="CA96" s="313"/>
      <c r="CB96" s="313"/>
      <c r="CC96" s="313"/>
      <c r="CD96" s="313"/>
      <c r="CE96" s="313"/>
      <c r="CF96" s="313"/>
      <c r="CG96" s="313"/>
      <c r="CH96" s="313"/>
      <c r="CI96" s="313"/>
      <c r="CJ96" s="313"/>
      <c r="CK96" s="313"/>
      <c r="CL96" s="313"/>
      <c r="CM96" s="313"/>
      <c r="CN96" s="313"/>
      <c r="CO96" s="313"/>
      <c r="CP96" s="313"/>
      <c r="CQ96" s="313"/>
      <c r="CR96" s="313"/>
      <c r="CS96" s="313"/>
      <c r="CT96" s="313"/>
      <c r="CU96" s="313"/>
      <c r="CV96" s="313"/>
    </row>
    <row r="97" spans="2:100" x14ac:dyDescent="0.25">
      <c r="B97" s="313"/>
      <c r="C97" s="313"/>
      <c r="D97" s="313"/>
      <c r="E97" s="313"/>
      <c r="F97" s="313"/>
      <c r="G97" s="313"/>
      <c r="H97" s="313"/>
      <c r="I97" s="313"/>
      <c r="J97" s="313"/>
      <c r="K97" s="313"/>
      <c r="L97" s="313"/>
      <c r="M97" s="313"/>
      <c r="N97" s="313"/>
      <c r="O97" s="313"/>
      <c r="P97" s="313"/>
      <c r="Q97" s="313"/>
      <c r="R97" s="313"/>
      <c r="S97" s="313"/>
      <c r="X97" s="313"/>
      <c r="Y97" s="313"/>
      <c r="Z97" s="313"/>
      <c r="AA97" s="313"/>
      <c r="AB97" s="313"/>
      <c r="AC97" s="313"/>
      <c r="AD97" s="313"/>
      <c r="AE97" s="313"/>
      <c r="AF97" s="313"/>
      <c r="AG97" s="313"/>
      <c r="AH97" s="313"/>
      <c r="AI97" s="313"/>
      <c r="AJ97" s="313"/>
      <c r="AK97" s="313"/>
      <c r="AL97" s="313"/>
      <c r="AM97" s="313"/>
      <c r="AN97" s="313"/>
      <c r="AO97" s="313"/>
      <c r="AP97" s="313"/>
      <c r="AQ97" s="313"/>
      <c r="AR97" s="313"/>
      <c r="AS97" s="313"/>
      <c r="AT97" s="313"/>
      <c r="AU97" s="313"/>
      <c r="AV97" s="313"/>
      <c r="AW97" s="313"/>
      <c r="AX97" s="313"/>
      <c r="AY97" s="313"/>
      <c r="AZ97" s="313"/>
      <c r="BA97" s="313"/>
      <c r="BB97" s="313"/>
      <c r="BC97" s="313"/>
      <c r="BD97" s="313"/>
      <c r="BE97" s="313"/>
      <c r="BF97" s="313"/>
      <c r="BG97" s="313"/>
      <c r="BH97" s="313"/>
      <c r="BI97" s="313"/>
      <c r="BJ97" s="313"/>
      <c r="BK97" s="313"/>
      <c r="BL97" s="313"/>
      <c r="BM97" s="313"/>
      <c r="BN97" s="313"/>
      <c r="BO97" s="313"/>
      <c r="BP97" s="313"/>
      <c r="BQ97" s="313"/>
      <c r="BR97" s="313"/>
      <c r="BS97" s="313"/>
      <c r="BT97" s="313"/>
      <c r="BU97" s="313"/>
      <c r="BV97" s="313"/>
      <c r="BW97" s="313"/>
      <c r="BX97" s="313"/>
      <c r="BY97" s="313"/>
      <c r="BZ97" s="313"/>
      <c r="CA97" s="313"/>
      <c r="CB97" s="313"/>
      <c r="CC97" s="313"/>
      <c r="CD97" s="313"/>
      <c r="CE97" s="313"/>
      <c r="CF97" s="313"/>
      <c r="CG97" s="313"/>
      <c r="CH97" s="313"/>
      <c r="CI97" s="313"/>
      <c r="CJ97" s="313"/>
      <c r="CK97" s="313"/>
      <c r="CL97" s="313"/>
      <c r="CM97" s="313"/>
      <c r="CN97" s="313"/>
      <c r="CO97" s="313"/>
      <c r="CP97" s="313"/>
      <c r="CQ97" s="313"/>
      <c r="CR97" s="313"/>
      <c r="CS97" s="313"/>
      <c r="CT97" s="313"/>
      <c r="CU97" s="313"/>
      <c r="CV97" s="313"/>
    </row>
    <row r="98" spans="2:100" x14ac:dyDescent="0.25">
      <c r="B98" s="313"/>
      <c r="C98" s="313"/>
      <c r="D98" s="313"/>
      <c r="E98" s="313"/>
      <c r="F98" s="313"/>
      <c r="G98" s="313"/>
      <c r="H98" s="313"/>
      <c r="I98" s="313"/>
      <c r="J98" s="313"/>
      <c r="K98" s="313"/>
      <c r="L98" s="313"/>
      <c r="M98" s="313"/>
      <c r="N98" s="313"/>
      <c r="O98" s="313"/>
      <c r="P98" s="313"/>
      <c r="Q98" s="313"/>
      <c r="R98" s="313"/>
      <c r="S98" s="313"/>
      <c r="X98" s="313"/>
      <c r="Y98" s="313"/>
      <c r="Z98" s="313"/>
      <c r="AA98" s="313"/>
      <c r="AB98" s="313"/>
      <c r="AC98" s="313"/>
      <c r="AD98" s="313"/>
      <c r="AE98" s="313"/>
      <c r="AF98" s="313"/>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c r="BD98" s="313"/>
      <c r="BE98" s="313"/>
      <c r="BF98" s="313"/>
      <c r="BG98" s="313"/>
      <c r="BH98" s="313"/>
      <c r="BI98" s="313"/>
      <c r="BJ98" s="313"/>
      <c r="BK98" s="313"/>
      <c r="BL98" s="313"/>
      <c r="BM98" s="313"/>
      <c r="BN98" s="313"/>
      <c r="BO98" s="313"/>
      <c r="BP98" s="313"/>
      <c r="BQ98" s="313"/>
      <c r="BR98" s="313"/>
      <c r="BS98" s="313"/>
      <c r="BT98" s="313"/>
      <c r="BU98" s="313"/>
      <c r="BV98" s="313"/>
      <c r="BW98" s="313"/>
      <c r="BX98" s="313"/>
      <c r="BY98" s="313"/>
      <c r="BZ98" s="313"/>
      <c r="CA98" s="313"/>
      <c r="CB98" s="313"/>
      <c r="CC98" s="313"/>
      <c r="CD98" s="313"/>
      <c r="CE98" s="313"/>
      <c r="CF98" s="313"/>
      <c r="CG98" s="313"/>
      <c r="CH98" s="313"/>
      <c r="CI98" s="313"/>
      <c r="CJ98" s="313"/>
      <c r="CK98" s="313"/>
      <c r="CL98" s="313"/>
      <c r="CM98" s="313"/>
      <c r="CN98" s="313"/>
      <c r="CO98" s="313"/>
      <c r="CP98" s="313"/>
      <c r="CQ98" s="313"/>
      <c r="CR98" s="313"/>
      <c r="CS98" s="313"/>
      <c r="CT98" s="313"/>
      <c r="CU98" s="313"/>
      <c r="CV98" s="313"/>
    </row>
    <row r="99" spans="2:100" x14ac:dyDescent="0.25">
      <c r="B99" s="313"/>
      <c r="C99" s="313"/>
      <c r="D99" s="313"/>
      <c r="E99" s="313"/>
      <c r="F99" s="313"/>
      <c r="G99" s="313"/>
      <c r="H99" s="313"/>
      <c r="I99" s="313"/>
      <c r="J99" s="313"/>
      <c r="K99" s="313"/>
      <c r="L99" s="313"/>
      <c r="M99" s="313"/>
      <c r="N99" s="313"/>
      <c r="O99" s="313"/>
      <c r="P99" s="313"/>
      <c r="Q99" s="313"/>
      <c r="R99" s="313"/>
      <c r="S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c r="BD99" s="313"/>
      <c r="BE99" s="313"/>
      <c r="BF99" s="313"/>
      <c r="BG99" s="313"/>
      <c r="BH99" s="313"/>
      <c r="BI99" s="313"/>
      <c r="BJ99" s="313"/>
      <c r="BK99" s="313"/>
      <c r="BL99" s="313"/>
      <c r="BM99" s="313"/>
      <c r="BN99" s="313"/>
      <c r="BO99" s="313"/>
      <c r="BP99" s="313"/>
      <c r="BQ99" s="313"/>
      <c r="BR99" s="313"/>
      <c r="BS99" s="313"/>
      <c r="BT99" s="313"/>
      <c r="BU99" s="313"/>
      <c r="BV99" s="313"/>
      <c r="BW99" s="313"/>
      <c r="BX99" s="313"/>
      <c r="BY99" s="313"/>
      <c r="BZ99" s="313"/>
      <c r="CA99" s="313"/>
      <c r="CB99" s="313"/>
      <c r="CC99" s="313"/>
      <c r="CD99" s="313"/>
      <c r="CE99" s="313"/>
      <c r="CF99" s="313"/>
      <c r="CG99" s="313"/>
      <c r="CH99" s="313"/>
      <c r="CI99" s="313"/>
      <c r="CJ99" s="313"/>
      <c r="CK99" s="313"/>
      <c r="CL99" s="313"/>
      <c r="CM99" s="313"/>
      <c r="CN99" s="313"/>
      <c r="CO99" s="313"/>
      <c r="CP99" s="313"/>
      <c r="CQ99" s="313"/>
      <c r="CR99" s="313"/>
      <c r="CS99" s="313"/>
      <c r="CT99" s="313"/>
      <c r="CU99" s="313"/>
      <c r="CV99" s="313"/>
    </row>
    <row r="100" spans="2:100" x14ac:dyDescent="0.25">
      <c r="B100" s="313"/>
      <c r="C100" s="313"/>
      <c r="D100" s="313"/>
      <c r="E100" s="313"/>
      <c r="F100" s="313"/>
      <c r="G100" s="313"/>
      <c r="H100" s="313"/>
      <c r="I100" s="313"/>
      <c r="J100" s="313"/>
      <c r="K100" s="313"/>
      <c r="L100" s="313"/>
      <c r="M100" s="313"/>
      <c r="N100" s="313"/>
      <c r="O100" s="313"/>
      <c r="P100" s="313"/>
      <c r="Q100" s="313"/>
      <c r="R100" s="313"/>
      <c r="S100" s="313"/>
      <c r="X100" s="313"/>
      <c r="Y100" s="313"/>
      <c r="Z100" s="313"/>
      <c r="AA100" s="313"/>
      <c r="AB100" s="313"/>
      <c r="AC100" s="313"/>
      <c r="AD100" s="313"/>
      <c r="AE100" s="313"/>
      <c r="AF100" s="313"/>
      <c r="AG100" s="313"/>
      <c r="AH100" s="313"/>
      <c r="AI100" s="313"/>
      <c r="AJ100" s="313"/>
      <c r="AK100" s="313"/>
      <c r="AL100" s="313"/>
      <c r="AM100" s="313"/>
      <c r="AN100" s="313"/>
      <c r="AO100" s="313"/>
      <c r="AP100" s="313"/>
      <c r="AQ100" s="313"/>
      <c r="AR100" s="313"/>
      <c r="AS100" s="313"/>
      <c r="AT100" s="313"/>
      <c r="AU100" s="313"/>
      <c r="AV100" s="313"/>
      <c r="AW100" s="313"/>
      <c r="AX100" s="313"/>
      <c r="AY100" s="313"/>
      <c r="AZ100" s="313"/>
      <c r="BA100" s="313"/>
      <c r="BB100" s="313"/>
      <c r="BC100" s="313"/>
      <c r="BD100" s="313"/>
      <c r="BE100" s="313"/>
      <c r="BF100" s="313"/>
      <c r="BG100" s="313"/>
      <c r="BH100" s="313"/>
      <c r="BI100" s="313"/>
      <c r="BJ100" s="313"/>
      <c r="BK100" s="313"/>
      <c r="BL100" s="313"/>
      <c r="BM100" s="313"/>
      <c r="BN100" s="313"/>
      <c r="BO100" s="313"/>
      <c r="BP100" s="313"/>
      <c r="BQ100" s="313"/>
      <c r="BR100" s="313"/>
      <c r="BS100" s="313"/>
      <c r="BT100" s="313"/>
      <c r="BU100" s="313"/>
      <c r="BV100" s="313"/>
      <c r="BW100" s="313"/>
      <c r="BX100" s="313"/>
      <c r="BY100" s="313"/>
      <c r="BZ100" s="313"/>
      <c r="CA100" s="313"/>
      <c r="CB100" s="313"/>
      <c r="CC100" s="313"/>
      <c r="CD100" s="313"/>
      <c r="CE100" s="313"/>
      <c r="CF100" s="313"/>
      <c r="CG100" s="313"/>
      <c r="CH100" s="313"/>
      <c r="CI100" s="313"/>
      <c r="CJ100" s="313"/>
      <c r="CK100" s="313"/>
      <c r="CL100" s="313"/>
      <c r="CM100" s="313"/>
      <c r="CN100" s="313"/>
      <c r="CO100" s="313"/>
      <c r="CP100" s="313"/>
      <c r="CQ100" s="313"/>
      <c r="CR100" s="313"/>
      <c r="CS100" s="313"/>
      <c r="CT100" s="313"/>
      <c r="CU100" s="313"/>
      <c r="CV100" s="313"/>
    </row>
    <row r="101" spans="2:100" x14ac:dyDescent="0.25">
      <c r="B101" s="313"/>
      <c r="C101" s="313"/>
      <c r="D101" s="313"/>
      <c r="E101" s="313"/>
      <c r="F101" s="313"/>
      <c r="G101" s="313"/>
      <c r="H101" s="313"/>
      <c r="I101" s="313"/>
      <c r="J101" s="313"/>
      <c r="K101" s="313"/>
      <c r="L101" s="313"/>
      <c r="M101" s="313"/>
      <c r="N101" s="313"/>
      <c r="O101" s="313"/>
      <c r="P101" s="313"/>
      <c r="Q101" s="313"/>
      <c r="R101" s="313"/>
      <c r="S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c r="AY101" s="313"/>
      <c r="AZ101" s="313"/>
      <c r="BA101" s="313"/>
      <c r="BB101" s="313"/>
      <c r="BC101" s="313"/>
      <c r="BD101" s="313"/>
      <c r="BE101" s="313"/>
      <c r="BF101" s="313"/>
      <c r="BG101" s="313"/>
      <c r="BH101" s="313"/>
      <c r="BI101" s="313"/>
      <c r="BJ101" s="313"/>
      <c r="BK101" s="313"/>
      <c r="BL101" s="313"/>
      <c r="BM101" s="313"/>
      <c r="BN101" s="313"/>
      <c r="BO101" s="313"/>
      <c r="BP101" s="313"/>
      <c r="BQ101" s="313"/>
      <c r="BR101" s="313"/>
      <c r="BS101" s="313"/>
      <c r="BT101" s="313"/>
      <c r="BU101" s="313"/>
      <c r="BV101" s="313"/>
      <c r="BW101" s="313"/>
      <c r="BX101" s="313"/>
      <c r="BY101" s="313"/>
      <c r="BZ101" s="313"/>
      <c r="CA101" s="313"/>
      <c r="CB101" s="313"/>
      <c r="CC101" s="313"/>
      <c r="CD101" s="313"/>
      <c r="CE101" s="313"/>
      <c r="CF101" s="313"/>
      <c r="CG101" s="313"/>
      <c r="CH101" s="313"/>
      <c r="CI101" s="313"/>
      <c r="CJ101" s="313"/>
      <c r="CK101" s="313"/>
      <c r="CL101" s="313"/>
      <c r="CM101" s="313"/>
      <c r="CN101" s="313"/>
      <c r="CO101" s="313"/>
      <c r="CP101" s="313"/>
      <c r="CQ101" s="313"/>
      <c r="CR101" s="313"/>
      <c r="CS101" s="313"/>
      <c r="CT101" s="313"/>
      <c r="CU101" s="313"/>
      <c r="CV101" s="313"/>
    </row>
    <row r="102" spans="2:100" x14ac:dyDescent="0.25">
      <c r="B102" s="313"/>
      <c r="C102" s="313"/>
      <c r="D102" s="313"/>
      <c r="E102" s="313"/>
      <c r="F102" s="313"/>
      <c r="G102" s="313"/>
      <c r="H102" s="313"/>
      <c r="I102" s="313"/>
      <c r="J102" s="313"/>
      <c r="K102" s="313"/>
      <c r="L102" s="313"/>
      <c r="M102" s="313"/>
      <c r="N102" s="313"/>
      <c r="O102" s="313"/>
      <c r="P102" s="313"/>
      <c r="Q102" s="313"/>
      <c r="R102" s="313"/>
      <c r="S102" s="313"/>
      <c r="X102" s="313"/>
      <c r="Y102" s="313"/>
      <c r="Z102" s="313"/>
      <c r="AA102" s="313"/>
      <c r="AB102" s="313"/>
      <c r="AC102" s="313"/>
      <c r="AD102" s="313"/>
      <c r="AE102" s="313"/>
      <c r="AF102" s="313"/>
      <c r="AG102" s="313"/>
      <c r="AH102" s="313"/>
      <c r="AI102" s="313"/>
      <c r="AJ102" s="313"/>
      <c r="AK102" s="313"/>
      <c r="AL102" s="313"/>
      <c r="AM102" s="313"/>
      <c r="AN102" s="313"/>
      <c r="AO102" s="313"/>
      <c r="AP102" s="313"/>
      <c r="AQ102" s="313"/>
      <c r="AR102" s="313"/>
      <c r="AS102" s="313"/>
      <c r="AT102" s="313"/>
      <c r="AU102" s="313"/>
      <c r="AV102" s="313"/>
      <c r="AW102" s="313"/>
      <c r="AX102" s="313"/>
      <c r="AY102" s="313"/>
      <c r="AZ102" s="313"/>
      <c r="BA102" s="313"/>
      <c r="BB102" s="313"/>
      <c r="BC102" s="313"/>
      <c r="BD102" s="313"/>
      <c r="BE102" s="313"/>
      <c r="BF102" s="313"/>
      <c r="BG102" s="313"/>
      <c r="BH102" s="313"/>
      <c r="BI102" s="313"/>
      <c r="BJ102" s="313"/>
      <c r="BK102" s="313"/>
      <c r="BL102" s="313"/>
      <c r="BM102" s="313"/>
      <c r="BN102" s="313"/>
      <c r="BO102" s="313"/>
      <c r="BP102" s="313"/>
      <c r="BQ102" s="313"/>
      <c r="BR102" s="313"/>
      <c r="BS102" s="313"/>
      <c r="BT102" s="313"/>
      <c r="BU102" s="313"/>
      <c r="BV102" s="313"/>
      <c r="BW102" s="313"/>
      <c r="BX102" s="313"/>
      <c r="BY102" s="313"/>
      <c r="BZ102" s="313"/>
      <c r="CA102" s="313"/>
      <c r="CB102" s="313"/>
      <c r="CC102" s="313"/>
      <c r="CD102" s="313"/>
      <c r="CE102" s="313"/>
      <c r="CF102" s="313"/>
      <c r="CG102" s="313"/>
      <c r="CH102" s="313"/>
      <c r="CI102" s="313"/>
      <c r="CJ102" s="313"/>
      <c r="CK102" s="313"/>
      <c r="CL102" s="313"/>
      <c r="CM102" s="313"/>
      <c r="CN102" s="313"/>
      <c r="CO102" s="313"/>
      <c r="CP102" s="313"/>
      <c r="CQ102" s="313"/>
      <c r="CR102" s="313"/>
      <c r="CS102" s="313"/>
      <c r="CT102" s="313"/>
      <c r="CU102" s="313"/>
      <c r="CV102" s="313"/>
    </row>
    <row r="103" spans="2:100" x14ac:dyDescent="0.25">
      <c r="B103" s="313"/>
      <c r="C103" s="313"/>
      <c r="D103" s="313"/>
      <c r="E103" s="313"/>
      <c r="F103" s="313"/>
      <c r="G103" s="313"/>
      <c r="H103" s="313"/>
      <c r="I103" s="313"/>
      <c r="J103" s="313"/>
      <c r="K103" s="313"/>
      <c r="L103" s="313"/>
      <c r="M103" s="313"/>
      <c r="N103" s="313"/>
      <c r="O103" s="313"/>
      <c r="P103" s="313"/>
      <c r="Q103" s="313"/>
      <c r="R103" s="313"/>
      <c r="S103" s="313"/>
      <c r="X103" s="313"/>
      <c r="Y103" s="313"/>
      <c r="Z103" s="313"/>
      <c r="AA103" s="313"/>
      <c r="AB103" s="313"/>
      <c r="AC103" s="313"/>
      <c r="AD103" s="313"/>
      <c r="AE103" s="313"/>
      <c r="AF103" s="313"/>
      <c r="AG103" s="313"/>
      <c r="AH103" s="313"/>
      <c r="AI103" s="313"/>
      <c r="AJ103" s="313"/>
      <c r="AK103" s="313"/>
      <c r="AL103" s="313"/>
      <c r="AM103" s="313"/>
      <c r="AN103" s="313"/>
      <c r="AO103" s="313"/>
      <c r="AP103" s="313"/>
      <c r="AQ103" s="313"/>
      <c r="AR103" s="313"/>
      <c r="AS103" s="313"/>
      <c r="AT103" s="313"/>
      <c r="AU103" s="313"/>
      <c r="AV103" s="313"/>
      <c r="AW103" s="313"/>
      <c r="AX103" s="313"/>
      <c r="AY103" s="313"/>
      <c r="AZ103" s="313"/>
      <c r="BA103" s="313"/>
      <c r="BB103" s="313"/>
      <c r="BC103" s="313"/>
      <c r="BD103" s="313"/>
      <c r="BE103" s="313"/>
      <c r="BF103" s="313"/>
      <c r="BG103" s="313"/>
      <c r="BH103" s="313"/>
      <c r="BI103" s="313"/>
      <c r="BJ103" s="313"/>
      <c r="BK103" s="313"/>
      <c r="BL103" s="313"/>
      <c r="BM103" s="313"/>
      <c r="BN103" s="313"/>
      <c r="BO103" s="313"/>
      <c r="BP103" s="313"/>
      <c r="BQ103" s="313"/>
      <c r="BR103" s="313"/>
      <c r="BS103" s="313"/>
      <c r="BT103" s="313"/>
      <c r="BU103" s="313"/>
      <c r="BV103" s="313"/>
      <c r="BW103" s="313"/>
      <c r="BX103" s="313"/>
      <c r="BY103" s="313"/>
      <c r="BZ103" s="313"/>
      <c r="CA103" s="313"/>
      <c r="CB103" s="313"/>
      <c r="CC103" s="313"/>
      <c r="CD103" s="313"/>
      <c r="CE103" s="313"/>
      <c r="CF103" s="313"/>
      <c r="CG103" s="313"/>
      <c r="CH103" s="313"/>
      <c r="CI103" s="313"/>
      <c r="CJ103" s="313"/>
      <c r="CK103" s="313"/>
      <c r="CL103" s="313"/>
      <c r="CM103" s="313"/>
      <c r="CN103" s="313"/>
      <c r="CO103" s="313"/>
      <c r="CP103" s="313"/>
      <c r="CQ103" s="313"/>
      <c r="CR103" s="313"/>
      <c r="CS103" s="313"/>
      <c r="CT103" s="313"/>
      <c r="CU103" s="313"/>
      <c r="CV103" s="313"/>
    </row>
    <row r="104" spans="2:100" x14ac:dyDescent="0.25">
      <c r="B104" s="313"/>
      <c r="C104" s="313"/>
      <c r="D104" s="313"/>
      <c r="E104" s="313"/>
      <c r="F104" s="313"/>
      <c r="G104" s="313"/>
      <c r="H104" s="313"/>
      <c r="I104" s="313"/>
      <c r="J104" s="313"/>
      <c r="K104" s="313"/>
      <c r="L104" s="313"/>
      <c r="M104" s="313"/>
      <c r="N104" s="313"/>
      <c r="O104" s="313"/>
      <c r="P104" s="313"/>
      <c r="Q104" s="313"/>
      <c r="R104" s="313"/>
      <c r="S104" s="313"/>
      <c r="X104" s="313"/>
      <c r="Y104" s="313"/>
      <c r="Z104" s="313"/>
      <c r="AA104" s="313"/>
      <c r="AB104" s="313"/>
      <c r="AC104" s="313"/>
      <c r="AD104" s="313"/>
      <c r="AE104" s="313"/>
      <c r="AF104" s="313"/>
      <c r="AG104" s="313"/>
      <c r="AH104" s="313"/>
      <c r="AI104" s="313"/>
      <c r="AJ104" s="313"/>
      <c r="AK104" s="313"/>
      <c r="AL104" s="313"/>
      <c r="AM104" s="313"/>
      <c r="AN104" s="313"/>
      <c r="AO104" s="313"/>
      <c r="AP104" s="313"/>
      <c r="AQ104" s="313"/>
      <c r="AR104" s="313"/>
      <c r="AS104" s="313"/>
      <c r="AT104" s="313"/>
      <c r="AU104" s="313"/>
      <c r="AV104" s="313"/>
      <c r="AW104" s="313"/>
      <c r="AX104" s="313"/>
      <c r="AY104" s="313"/>
      <c r="AZ104" s="313"/>
      <c r="BA104" s="313"/>
      <c r="BB104" s="313"/>
      <c r="BC104" s="313"/>
      <c r="BD104" s="313"/>
      <c r="BE104" s="313"/>
      <c r="BF104" s="313"/>
      <c r="BG104" s="313"/>
      <c r="BH104" s="313"/>
      <c r="BI104" s="313"/>
      <c r="BJ104" s="313"/>
      <c r="BK104" s="313"/>
      <c r="BL104" s="313"/>
      <c r="BM104" s="313"/>
      <c r="BN104" s="313"/>
      <c r="BO104" s="313"/>
      <c r="BP104" s="313"/>
      <c r="BQ104" s="313"/>
      <c r="BR104" s="313"/>
      <c r="BS104" s="313"/>
      <c r="BT104" s="313"/>
      <c r="BU104" s="313"/>
      <c r="BV104" s="313"/>
      <c r="BW104" s="313"/>
      <c r="BX104" s="313"/>
      <c r="BY104" s="313"/>
      <c r="BZ104" s="313"/>
      <c r="CA104" s="313"/>
      <c r="CB104" s="313"/>
      <c r="CC104" s="313"/>
      <c r="CD104" s="313"/>
      <c r="CE104" s="313"/>
      <c r="CF104" s="313"/>
      <c r="CG104" s="313"/>
      <c r="CH104" s="313"/>
      <c r="CI104" s="313"/>
      <c r="CJ104" s="313"/>
      <c r="CK104" s="313"/>
      <c r="CL104" s="313"/>
      <c r="CM104" s="313"/>
      <c r="CN104" s="313"/>
      <c r="CO104" s="313"/>
      <c r="CP104" s="313"/>
      <c r="CQ104" s="313"/>
      <c r="CR104" s="313"/>
      <c r="CS104" s="313"/>
      <c r="CT104" s="313"/>
      <c r="CU104" s="313"/>
      <c r="CV104" s="313"/>
    </row>
    <row r="105" spans="2:100" x14ac:dyDescent="0.25">
      <c r="B105" s="313"/>
      <c r="C105" s="313"/>
      <c r="D105" s="313"/>
      <c r="E105" s="313"/>
      <c r="F105" s="313"/>
      <c r="G105" s="313"/>
      <c r="H105" s="313"/>
      <c r="I105" s="313"/>
      <c r="J105" s="313"/>
      <c r="K105" s="313"/>
      <c r="L105" s="313"/>
      <c r="M105" s="313"/>
      <c r="N105" s="313"/>
      <c r="O105" s="313"/>
      <c r="P105" s="313"/>
      <c r="Q105" s="313"/>
      <c r="R105" s="313"/>
      <c r="S105" s="313"/>
      <c r="X105" s="313"/>
      <c r="Y105" s="313"/>
      <c r="Z105" s="313"/>
      <c r="AA105" s="313"/>
      <c r="AB105" s="313"/>
      <c r="AC105" s="313"/>
      <c r="AD105" s="313"/>
      <c r="AE105" s="313"/>
      <c r="AF105" s="313"/>
      <c r="AG105" s="313"/>
      <c r="AH105" s="313"/>
      <c r="AI105" s="313"/>
      <c r="AJ105" s="313"/>
      <c r="AK105" s="313"/>
      <c r="AL105" s="313"/>
      <c r="AM105" s="313"/>
      <c r="AN105" s="313"/>
      <c r="AO105" s="313"/>
      <c r="AP105" s="313"/>
      <c r="AQ105" s="313"/>
      <c r="AR105" s="313"/>
      <c r="AS105" s="313"/>
      <c r="AT105" s="313"/>
      <c r="AU105" s="313"/>
      <c r="AV105" s="313"/>
      <c r="AW105" s="313"/>
      <c r="AX105" s="313"/>
      <c r="AY105" s="313"/>
      <c r="AZ105" s="313"/>
      <c r="BA105" s="313"/>
      <c r="BB105" s="313"/>
      <c r="BC105" s="313"/>
      <c r="BD105" s="313"/>
      <c r="BE105" s="313"/>
      <c r="BF105" s="313"/>
      <c r="BG105" s="313"/>
      <c r="BH105" s="313"/>
      <c r="BI105" s="313"/>
      <c r="BJ105" s="313"/>
      <c r="BK105" s="313"/>
      <c r="BL105" s="313"/>
      <c r="BM105" s="313"/>
      <c r="BN105" s="313"/>
      <c r="BO105" s="313"/>
      <c r="BP105" s="313"/>
      <c r="BQ105" s="313"/>
      <c r="BR105" s="313"/>
      <c r="BS105" s="313"/>
      <c r="BT105" s="313"/>
      <c r="BU105" s="313"/>
      <c r="BV105" s="313"/>
      <c r="BW105" s="313"/>
      <c r="BX105" s="313"/>
      <c r="BY105" s="313"/>
      <c r="BZ105" s="313"/>
      <c r="CA105" s="313"/>
      <c r="CB105" s="313"/>
      <c r="CC105" s="313"/>
      <c r="CD105" s="313"/>
      <c r="CE105" s="313"/>
      <c r="CF105" s="313"/>
      <c r="CG105" s="313"/>
      <c r="CH105" s="313"/>
      <c r="CI105" s="313"/>
      <c r="CJ105" s="313"/>
      <c r="CK105" s="313"/>
      <c r="CL105" s="313"/>
      <c r="CM105" s="313"/>
      <c r="CN105" s="313"/>
      <c r="CO105" s="313"/>
      <c r="CP105" s="313"/>
      <c r="CQ105" s="313"/>
      <c r="CR105" s="313"/>
      <c r="CS105" s="313"/>
      <c r="CT105" s="313"/>
      <c r="CU105" s="313"/>
      <c r="CV105" s="313"/>
    </row>
    <row r="106" spans="2:100" x14ac:dyDescent="0.25">
      <c r="B106" s="313"/>
      <c r="C106" s="313"/>
      <c r="D106" s="313"/>
      <c r="E106" s="313"/>
      <c r="F106" s="313"/>
      <c r="G106" s="313"/>
      <c r="H106" s="313"/>
      <c r="I106" s="313"/>
      <c r="J106" s="313"/>
      <c r="K106" s="313"/>
      <c r="L106" s="313"/>
      <c r="M106" s="313"/>
      <c r="N106" s="313"/>
      <c r="O106" s="313"/>
      <c r="P106" s="313"/>
      <c r="Q106" s="313"/>
      <c r="R106" s="313"/>
      <c r="S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c r="AY106" s="313"/>
      <c r="AZ106" s="313"/>
      <c r="BA106" s="313"/>
      <c r="BB106" s="313"/>
      <c r="BC106" s="313"/>
      <c r="BD106" s="313"/>
      <c r="BE106" s="313"/>
      <c r="BF106" s="313"/>
      <c r="BG106" s="313"/>
      <c r="BH106" s="313"/>
      <c r="BI106" s="313"/>
      <c r="BJ106" s="313"/>
      <c r="BK106" s="313"/>
      <c r="BL106" s="313"/>
      <c r="BM106" s="313"/>
      <c r="BN106" s="313"/>
      <c r="BO106" s="313"/>
      <c r="BP106" s="313"/>
      <c r="BQ106" s="313"/>
      <c r="BR106" s="313"/>
      <c r="BS106" s="313"/>
      <c r="BT106" s="313"/>
      <c r="BU106" s="313"/>
      <c r="BV106" s="313"/>
      <c r="BW106" s="313"/>
      <c r="BX106" s="313"/>
      <c r="BY106" s="313"/>
      <c r="BZ106" s="313"/>
      <c r="CA106" s="313"/>
      <c r="CB106" s="313"/>
      <c r="CC106" s="313"/>
      <c r="CD106" s="313"/>
      <c r="CE106" s="313"/>
      <c r="CF106" s="313"/>
      <c r="CG106" s="313"/>
      <c r="CH106" s="313"/>
      <c r="CI106" s="313"/>
      <c r="CJ106" s="313"/>
      <c r="CK106" s="313"/>
      <c r="CL106" s="313"/>
      <c r="CM106" s="313"/>
      <c r="CN106" s="313"/>
      <c r="CO106" s="313"/>
      <c r="CP106" s="313"/>
      <c r="CQ106" s="313"/>
      <c r="CR106" s="313"/>
      <c r="CS106" s="313"/>
      <c r="CT106" s="313"/>
      <c r="CU106" s="313"/>
      <c r="CV106" s="313"/>
    </row>
    <row r="107" spans="2:100" x14ac:dyDescent="0.25">
      <c r="B107" s="313"/>
      <c r="C107" s="313"/>
      <c r="D107" s="313"/>
      <c r="E107" s="313"/>
      <c r="F107" s="313"/>
      <c r="G107" s="313"/>
      <c r="H107" s="313"/>
      <c r="I107" s="313"/>
      <c r="J107" s="313"/>
      <c r="K107" s="313"/>
      <c r="L107" s="313"/>
      <c r="M107" s="313"/>
      <c r="N107" s="313"/>
      <c r="O107" s="313"/>
      <c r="P107" s="313"/>
      <c r="Q107" s="313"/>
      <c r="R107" s="313"/>
      <c r="S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c r="BD107" s="313"/>
      <c r="BE107" s="313"/>
      <c r="BF107" s="313"/>
      <c r="BG107" s="313"/>
      <c r="BH107" s="313"/>
      <c r="BI107" s="313"/>
      <c r="BJ107" s="313"/>
      <c r="BK107" s="313"/>
      <c r="BL107" s="313"/>
      <c r="BM107" s="313"/>
      <c r="BN107" s="313"/>
      <c r="BO107" s="313"/>
      <c r="BP107" s="313"/>
      <c r="BQ107" s="313"/>
      <c r="BR107" s="313"/>
      <c r="BS107" s="313"/>
      <c r="BT107" s="313"/>
      <c r="BU107" s="313"/>
      <c r="BV107" s="313"/>
      <c r="BW107" s="313"/>
      <c r="BX107" s="313"/>
      <c r="BY107" s="313"/>
      <c r="BZ107" s="313"/>
      <c r="CA107" s="313"/>
      <c r="CB107" s="313"/>
      <c r="CC107" s="313"/>
      <c r="CD107" s="313"/>
      <c r="CE107" s="313"/>
      <c r="CF107" s="313"/>
      <c r="CG107" s="313"/>
      <c r="CH107" s="313"/>
      <c r="CI107" s="313"/>
      <c r="CJ107" s="313"/>
      <c r="CK107" s="313"/>
      <c r="CL107" s="313"/>
      <c r="CM107" s="313"/>
      <c r="CN107" s="313"/>
      <c r="CO107" s="313"/>
      <c r="CP107" s="313"/>
      <c r="CQ107" s="313"/>
      <c r="CR107" s="313"/>
      <c r="CS107" s="313"/>
      <c r="CT107" s="313"/>
      <c r="CU107" s="313"/>
      <c r="CV107" s="313"/>
    </row>
    <row r="108" spans="2:100" x14ac:dyDescent="0.25">
      <c r="B108" s="313"/>
      <c r="C108" s="313"/>
      <c r="D108" s="313"/>
      <c r="E108" s="313"/>
      <c r="F108" s="313"/>
      <c r="G108" s="313"/>
      <c r="H108" s="313"/>
      <c r="I108" s="313"/>
      <c r="X108" s="313"/>
      <c r="Y108" s="313"/>
      <c r="Z108" s="313"/>
      <c r="AA108" s="313"/>
      <c r="AB108" s="313"/>
      <c r="AC108" s="313"/>
      <c r="AD108" s="313"/>
      <c r="AE108" s="313"/>
      <c r="AF108" s="313"/>
      <c r="AG108" s="313"/>
      <c r="AH108" s="313"/>
      <c r="AI108" s="313"/>
      <c r="AJ108" s="313"/>
      <c r="AK108" s="313"/>
      <c r="AL108" s="313"/>
      <c r="AM108" s="313"/>
      <c r="AN108" s="313"/>
      <c r="AO108" s="313"/>
      <c r="AP108" s="313"/>
      <c r="AQ108" s="313"/>
      <c r="AR108" s="313"/>
      <c r="AS108" s="313"/>
      <c r="AT108" s="313"/>
      <c r="AU108" s="313"/>
      <c r="AV108" s="313"/>
      <c r="AW108" s="313"/>
      <c r="AX108" s="313"/>
      <c r="AY108" s="313"/>
      <c r="AZ108" s="313"/>
      <c r="BA108" s="313"/>
      <c r="BB108" s="313"/>
      <c r="BC108" s="313"/>
      <c r="BD108" s="313"/>
      <c r="BE108" s="313"/>
      <c r="BF108" s="313"/>
      <c r="BG108" s="313"/>
      <c r="BH108" s="313"/>
      <c r="BI108" s="313"/>
      <c r="BJ108" s="313"/>
      <c r="BK108" s="313"/>
      <c r="BL108" s="313"/>
      <c r="BM108" s="313"/>
      <c r="BN108" s="313"/>
      <c r="BO108" s="313"/>
      <c r="BP108" s="313"/>
      <c r="BQ108" s="313"/>
      <c r="BR108" s="313"/>
      <c r="BS108" s="313"/>
      <c r="BT108" s="313"/>
      <c r="BU108" s="313"/>
      <c r="BV108" s="313"/>
      <c r="BW108" s="313"/>
      <c r="BX108" s="313"/>
      <c r="BY108" s="313"/>
      <c r="BZ108" s="313"/>
      <c r="CA108" s="313"/>
      <c r="CB108" s="313"/>
      <c r="CC108" s="313"/>
      <c r="CD108" s="313"/>
      <c r="CE108" s="313"/>
      <c r="CF108" s="313"/>
      <c r="CG108" s="313"/>
      <c r="CH108" s="313"/>
      <c r="CI108" s="313"/>
      <c r="CJ108" s="313"/>
      <c r="CK108" s="313"/>
      <c r="CL108" s="313"/>
      <c r="CM108" s="313"/>
      <c r="CN108" s="313"/>
      <c r="CO108" s="313"/>
      <c r="CP108" s="313"/>
      <c r="CQ108" s="313"/>
      <c r="CR108" s="313"/>
      <c r="CS108" s="313"/>
      <c r="CT108" s="313"/>
      <c r="CU108" s="313"/>
      <c r="CV108" s="313"/>
    </row>
    <row r="109" spans="2:100" x14ac:dyDescent="0.25">
      <c r="B109" s="313"/>
      <c r="C109" s="313"/>
      <c r="D109" s="313"/>
      <c r="E109" s="313"/>
      <c r="F109" s="313"/>
      <c r="G109" s="313"/>
      <c r="H109" s="313"/>
      <c r="I109" s="313"/>
      <c r="X109" s="313"/>
      <c r="Y109" s="313"/>
      <c r="Z109" s="313"/>
      <c r="AA109" s="313"/>
      <c r="AB109" s="313"/>
      <c r="AC109" s="313"/>
      <c r="AD109" s="313"/>
      <c r="AE109" s="313"/>
      <c r="AF109" s="313"/>
      <c r="AG109" s="313"/>
      <c r="AH109" s="313"/>
      <c r="AI109" s="313"/>
      <c r="AJ109" s="313"/>
      <c r="AK109" s="313"/>
      <c r="AL109" s="313"/>
      <c r="AM109" s="313"/>
      <c r="AN109" s="313"/>
      <c r="AO109" s="313"/>
      <c r="AP109" s="313"/>
      <c r="AQ109" s="313"/>
      <c r="AR109" s="313"/>
      <c r="AS109" s="313"/>
      <c r="AT109" s="313"/>
      <c r="AU109" s="313"/>
      <c r="AV109" s="313"/>
      <c r="AW109" s="313"/>
      <c r="AX109" s="313"/>
      <c r="AY109" s="313"/>
      <c r="AZ109" s="313"/>
      <c r="BA109" s="313"/>
      <c r="BB109" s="313"/>
      <c r="BC109" s="313"/>
      <c r="BD109" s="313"/>
      <c r="BE109" s="313"/>
      <c r="BF109" s="313"/>
      <c r="BG109" s="313"/>
      <c r="BH109" s="313"/>
      <c r="BI109" s="313"/>
      <c r="BJ109" s="313"/>
      <c r="BK109" s="313"/>
      <c r="BL109" s="313"/>
      <c r="BM109" s="313"/>
      <c r="BN109" s="313"/>
      <c r="BO109" s="313"/>
      <c r="BP109" s="313"/>
      <c r="BQ109" s="313"/>
      <c r="BR109" s="313"/>
      <c r="BS109" s="313"/>
      <c r="BT109" s="313"/>
      <c r="BU109" s="313"/>
      <c r="BV109" s="313"/>
      <c r="BW109" s="313"/>
      <c r="BX109" s="313"/>
      <c r="BY109" s="313"/>
      <c r="BZ109" s="313"/>
      <c r="CA109" s="313"/>
      <c r="CB109" s="313"/>
      <c r="CC109" s="313"/>
      <c r="CD109" s="313"/>
      <c r="CE109" s="313"/>
      <c r="CF109" s="313"/>
      <c r="CG109" s="313"/>
      <c r="CH109" s="313"/>
      <c r="CI109" s="313"/>
      <c r="CJ109" s="313"/>
      <c r="CK109" s="313"/>
      <c r="CL109" s="313"/>
      <c r="CM109" s="313"/>
      <c r="CN109" s="313"/>
      <c r="CO109" s="313"/>
      <c r="CP109" s="313"/>
      <c r="CQ109" s="313"/>
      <c r="CR109" s="313"/>
      <c r="CS109" s="313"/>
      <c r="CT109" s="313"/>
      <c r="CU109" s="313"/>
      <c r="CV109" s="313"/>
    </row>
    <row r="110" spans="2:100" x14ac:dyDescent="0.25">
      <c r="B110" s="313"/>
      <c r="C110" s="313"/>
      <c r="D110" s="313"/>
      <c r="E110" s="313"/>
      <c r="F110" s="313"/>
      <c r="G110" s="313"/>
      <c r="H110" s="313"/>
      <c r="I110" s="313"/>
      <c r="X110" s="313"/>
      <c r="Y110" s="313"/>
      <c r="Z110" s="313"/>
      <c r="AA110" s="313"/>
      <c r="AB110" s="313"/>
      <c r="AC110" s="313"/>
      <c r="AD110" s="313"/>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c r="BF110" s="313"/>
      <c r="BG110" s="313"/>
      <c r="BH110" s="313"/>
      <c r="BI110" s="313"/>
      <c r="BJ110" s="313"/>
      <c r="BK110" s="313"/>
      <c r="BL110" s="313"/>
      <c r="BM110" s="313"/>
      <c r="BN110" s="313"/>
      <c r="BO110" s="313"/>
      <c r="BP110" s="313"/>
      <c r="BQ110" s="313"/>
      <c r="BR110" s="313"/>
      <c r="BS110" s="313"/>
      <c r="BT110" s="313"/>
      <c r="BU110" s="313"/>
      <c r="BV110" s="313"/>
      <c r="BW110" s="313"/>
      <c r="BX110" s="313"/>
      <c r="BY110" s="313"/>
      <c r="BZ110" s="313"/>
      <c r="CA110" s="313"/>
      <c r="CB110" s="313"/>
      <c r="CC110" s="313"/>
      <c r="CD110" s="313"/>
      <c r="CE110" s="313"/>
      <c r="CF110" s="313"/>
      <c r="CG110" s="313"/>
      <c r="CH110" s="313"/>
      <c r="CI110" s="313"/>
      <c r="CJ110" s="313"/>
      <c r="CK110" s="313"/>
      <c r="CL110" s="313"/>
      <c r="CM110" s="313"/>
      <c r="CN110" s="313"/>
      <c r="CO110" s="313"/>
      <c r="CP110" s="313"/>
      <c r="CQ110" s="313"/>
      <c r="CR110" s="313"/>
      <c r="CS110" s="313"/>
      <c r="CT110" s="313"/>
      <c r="CU110" s="313"/>
      <c r="CV110" s="313"/>
    </row>
    <row r="111" spans="2:100" x14ac:dyDescent="0.25">
      <c r="B111" s="313"/>
      <c r="C111" s="313"/>
      <c r="D111" s="313"/>
      <c r="E111" s="313"/>
      <c r="F111" s="313"/>
      <c r="G111" s="313"/>
      <c r="H111" s="313"/>
      <c r="I111" s="313"/>
      <c r="X111" s="313"/>
      <c r="Y111" s="313"/>
      <c r="Z111" s="313"/>
      <c r="AA111" s="313"/>
      <c r="AB111" s="313"/>
      <c r="AC111" s="313"/>
      <c r="AD111" s="313"/>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c r="CF111" s="313"/>
      <c r="CG111" s="313"/>
      <c r="CH111" s="313"/>
      <c r="CI111" s="313"/>
      <c r="CJ111" s="313"/>
      <c r="CK111" s="313"/>
      <c r="CL111" s="313"/>
      <c r="CM111" s="313"/>
      <c r="CN111" s="313"/>
      <c r="CO111" s="313"/>
      <c r="CP111" s="313"/>
      <c r="CQ111" s="313"/>
      <c r="CR111" s="313"/>
      <c r="CS111" s="313"/>
      <c r="CT111" s="313"/>
      <c r="CU111" s="313"/>
      <c r="CV111" s="313"/>
    </row>
    <row r="112" spans="2:100" x14ac:dyDescent="0.25">
      <c r="B112" s="313"/>
      <c r="C112" s="313"/>
      <c r="D112" s="313"/>
      <c r="E112" s="313"/>
      <c r="F112" s="313"/>
      <c r="G112" s="313"/>
      <c r="H112" s="313"/>
      <c r="I112" s="313"/>
    </row>
    <row r="113" spans="2:9" x14ac:dyDescent="0.25">
      <c r="B113" s="313"/>
      <c r="C113" s="313"/>
      <c r="D113" s="313"/>
      <c r="E113" s="313"/>
      <c r="F113" s="313"/>
      <c r="G113" s="313"/>
      <c r="H113" s="313"/>
      <c r="I113" s="313"/>
    </row>
    <row r="114" spans="2:9" x14ac:dyDescent="0.25">
      <c r="B114" s="313"/>
      <c r="C114" s="313"/>
    </row>
  </sheetData>
  <mergeCells count="4">
    <mergeCell ref="B3:S3"/>
    <mergeCell ref="B15:C15"/>
    <mergeCell ref="B23:C23"/>
    <mergeCell ref="B28:C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44EB9-787E-4BB6-8738-1804AD162C0A}">
  <dimension ref="A1:C4"/>
  <sheetViews>
    <sheetView workbookViewId="0">
      <selection activeCell="C22" sqref="C22"/>
    </sheetView>
  </sheetViews>
  <sheetFormatPr defaultColWidth="8.7265625" defaultRowHeight="15.5" x14ac:dyDescent="0.35"/>
  <cols>
    <col min="1" max="1" width="24.81640625" style="791" customWidth="1"/>
    <col min="2" max="3" width="25.54296875" style="791" customWidth="1"/>
    <col min="4" max="16384" width="8.7265625" style="791"/>
  </cols>
  <sheetData>
    <row r="1" spans="1:3" x14ac:dyDescent="0.35">
      <c r="A1" s="798" t="s">
        <v>919</v>
      </c>
      <c r="B1" s="797" t="s">
        <v>917</v>
      </c>
      <c r="C1" s="797" t="s">
        <v>918</v>
      </c>
    </row>
    <row r="2" spans="1:3" x14ac:dyDescent="0.35">
      <c r="A2" s="792" t="s">
        <v>841</v>
      </c>
      <c r="B2" s="793">
        <f>'2627 Summary'!B18</f>
        <v>2296.0808352798158</v>
      </c>
      <c r="C2" s="794">
        <f>'2627 Summary'!B34</f>
        <v>5076.8353422140171</v>
      </c>
    </row>
    <row r="3" spans="1:3" x14ac:dyDescent="0.35">
      <c r="A3" s="792" t="s">
        <v>842</v>
      </c>
      <c r="B3" s="795">
        <f>'2627 Summary'!B19</f>
        <v>11402.660908162306</v>
      </c>
      <c r="C3" s="796">
        <f>'2627 Summary'!B35</f>
        <v>14269.532752078787</v>
      </c>
    </row>
    <row r="4" spans="1:3" x14ac:dyDescent="0.35">
      <c r="A4" s="792" t="s">
        <v>843</v>
      </c>
      <c r="B4" s="795">
        <f>'2627 Summary'!B20</f>
        <v>27456.834519775301</v>
      </c>
      <c r="C4" s="796">
        <f>'2627 Summary'!B36</f>
        <v>30237.589026709502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6850-A53C-4087-8828-BAE884D6A72B}">
  <sheetPr>
    <tabColor rgb="FF00B0F0"/>
  </sheetPr>
  <dimension ref="A1:Q33"/>
  <sheetViews>
    <sheetView zoomScale="115" zoomScaleNormal="115" workbookViewId="0">
      <selection activeCell="A11" sqref="A11"/>
    </sheetView>
  </sheetViews>
  <sheetFormatPr defaultColWidth="10.1796875" defaultRowHeight="12.5" x14ac:dyDescent="0.25"/>
  <cols>
    <col min="1" max="1" width="10.26953125" style="475" bestFit="1" customWidth="1"/>
    <col min="2" max="2" width="31.54296875" style="475" customWidth="1"/>
    <col min="3" max="3" width="17.1796875" style="475" customWidth="1"/>
    <col min="4" max="4" width="12.54296875" style="475" customWidth="1"/>
    <col min="5" max="5" width="12.7265625" style="475" customWidth="1"/>
    <col min="6" max="7" width="10.1796875" style="475" customWidth="1"/>
    <col min="8" max="8" width="11" style="475" customWidth="1"/>
    <col min="9" max="10" width="10.1796875" style="475" customWidth="1"/>
    <col min="11" max="11" width="10.81640625" style="475" bestFit="1" customWidth="1"/>
    <col min="12" max="12" width="10.1796875" style="475"/>
    <col min="13" max="13" width="10.81640625" style="475" bestFit="1" customWidth="1"/>
    <col min="14" max="16" width="10.1796875" style="475"/>
    <col min="17" max="17" width="11.1796875" style="475" customWidth="1"/>
    <col min="18" max="16384" width="10.1796875" style="475"/>
  </cols>
  <sheetData>
    <row r="1" spans="1:17" ht="17.5" x14ac:dyDescent="0.35">
      <c r="A1" s="709" t="s">
        <v>823</v>
      </c>
      <c r="D1" s="444"/>
      <c r="E1" s="481"/>
    </row>
    <row r="2" spans="1:17" ht="17.5" x14ac:dyDescent="0.35">
      <c r="A2" s="709"/>
      <c r="D2" s="444"/>
      <c r="E2" s="481"/>
    </row>
    <row r="3" spans="1:17" ht="51" customHeight="1" x14ac:dyDescent="0.25">
      <c r="A3" s="498" t="s">
        <v>278</v>
      </c>
      <c r="B3" s="480" t="s">
        <v>279</v>
      </c>
      <c r="C3" s="499" t="s">
        <v>811</v>
      </c>
      <c r="D3" s="665" t="s">
        <v>233</v>
      </c>
      <c r="E3" s="665" t="s">
        <v>240</v>
      </c>
      <c r="F3" s="665" t="s">
        <v>382</v>
      </c>
      <c r="G3" s="665" t="s">
        <v>385</v>
      </c>
      <c r="H3" s="665" t="s">
        <v>318</v>
      </c>
      <c r="I3" s="665" t="s">
        <v>913</v>
      </c>
      <c r="J3" s="665" t="s">
        <v>822</v>
      </c>
      <c r="K3" s="665" t="s">
        <v>824</v>
      </c>
      <c r="L3" s="771" t="s">
        <v>860</v>
      </c>
      <c r="M3" s="771" t="s">
        <v>862</v>
      </c>
      <c r="N3" s="771" t="s">
        <v>859</v>
      </c>
      <c r="P3" s="665" t="s">
        <v>411</v>
      </c>
      <c r="Q3" s="665" t="s">
        <v>318</v>
      </c>
    </row>
    <row r="4" spans="1:17" x14ac:dyDescent="0.25">
      <c r="A4" s="482">
        <v>9257010</v>
      </c>
      <c r="B4" s="784" t="s">
        <v>746</v>
      </c>
      <c r="C4" s="674">
        <f>VLOOKUP(A4,'2627 Places &amp; Banding'!$1:$1048576,19,(FALSE))</f>
        <v>158</v>
      </c>
      <c r="D4" s="511">
        <f>C4*'2627 Summary'!$B$13</f>
        <v>1580000</v>
      </c>
      <c r="E4" s="511">
        <f>VLOOKUP(A4,'2627 Places &amp; Banding'!$1:$1048576,29,(FALSE))</f>
        <v>1441595.1881876139</v>
      </c>
      <c r="F4" s="670">
        <f>VLOOKUP(A4,'2627 Places &amp; Banding'!$1:$1048576,31,(FALSE))</f>
        <v>0</v>
      </c>
      <c r="G4" s="670">
        <f>VLOOKUP(A4,'2627 Places &amp; Banding'!$1:$1048576,33,(FALSE))</f>
        <v>0</v>
      </c>
      <c r="H4" s="670">
        <f>SUM(D4:G4)</f>
        <v>3021595.1881876141</v>
      </c>
      <c r="I4" s="670">
        <f>VLOOKUP(A4,'2627 Places &amp; Banding'!$1:$1048576,80,(FALSE))</f>
        <v>-19551.605883614724</v>
      </c>
      <c r="J4" s="670">
        <f>VLOOKUP(A4,'2627 Places &amp; Banding'!$1:$1048576,35,(FALSE))</f>
        <v>40400</v>
      </c>
      <c r="K4" s="670"/>
      <c r="L4" s="511">
        <f>VLOOKUP(A4,'2627 Places &amp; Banding'!$1:$1048576,42,(FALSE))</f>
        <v>104280</v>
      </c>
      <c r="M4" s="511">
        <f>VLOOKUP(A4,'2627 Places &amp; Banding'!$1:$1048576,44,(FALSE))</f>
        <v>98800.153932528949</v>
      </c>
      <c r="N4" s="511">
        <f>VLOOKUP(A4,'2627 Places &amp; Banding'!$1:$1048576,41,(FALSE))</f>
        <v>481584</v>
      </c>
      <c r="P4" s="670">
        <f>VLOOKUP(A4,'2627 Places &amp; Banding'!$1:$1048576,36,(FALSE))</f>
        <v>25953.753207715101</v>
      </c>
      <c r="Q4" s="511">
        <f>SUM(H4:P4)</f>
        <v>3753061.4894442437</v>
      </c>
    </row>
    <row r="5" spans="1:17" x14ac:dyDescent="0.25">
      <c r="A5" s="482">
        <v>9257005</v>
      </c>
      <c r="B5" s="784" t="s">
        <v>819</v>
      </c>
      <c r="C5" s="674">
        <f>VLOOKUP(A5,'2627 Places &amp; Banding'!$1:$1048576,19,(FALSE))</f>
        <v>260.16666666666674</v>
      </c>
      <c r="D5" s="511">
        <f>C5*'2627 Summary'!$B$13</f>
        <v>2601666.6666666674</v>
      </c>
      <c r="E5" s="511">
        <f>VLOOKUP(A5,'2627 Places &amp; Banding'!$1:$1048576,29,(FALSE))</f>
        <v>1649542.099619491</v>
      </c>
      <c r="F5" s="670">
        <f>VLOOKUP(A5,'2627 Places &amp; Banding'!$1:$1048576,31,(FALSE))</f>
        <v>82700</v>
      </c>
      <c r="G5" s="670">
        <f>VLOOKUP(A5,'2627 Places &amp; Banding'!$1:$1048576,33,(FALSE))</f>
        <v>0</v>
      </c>
      <c r="H5" s="670">
        <f t="shared" ref="H5:H19" si="0">SUM(D5:G5)</f>
        <v>4333908.7662861589</v>
      </c>
      <c r="I5" s="670">
        <f>VLOOKUP(A5,'2627 Places &amp; Banding'!$1:$1048576,80,(FALSE))</f>
        <v>-2.5693225325085223E-11</v>
      </c>
      <c r="J5" s="670">
        <f>VLOOKUP(A5,'2627 Places &amp; Banding'!$1:$1048576,35,(FALSE))</f>
        <v>65650</v>
      </c>
      <c r="K5" s="670"/>
      <c r="L5" s="511">
        <f>VLOOKUP(A5,'2627 Places &amp; Banding'!$1:$1048576,42,(FALSE))</f>
        <v>171600</v>
      </c>
      <c r="M5" s="511">
        <f>VLOOKUP(A5,'2627 Places &amp; Banding'!$1:$1048576,44,(FALSE))</f>
        <v>137172.62087189517</v>
      </c>
      <c r="N5" s="511">
        <f>VLOOKUP(A5,'2627 Places &amp; Banding'!$1:$1048576,41,(FALSE))</f>
        <v>792480</v>
      </c>
      <c r="P5" s="670">
        <f>VLOOKUP(A5,'2627 Places &amp; Banding'!$1:$1048576,36,(FALSE))</f>
        <v>47354.216378988953</v>
      </c>
      <c r="Q5" s="511">
        <f t="shared" ref="Q5:Q19" si="1">SUM(H5:P5)</f>
        <v>5548165.6035370426</v>
      </c>
    </row>
    <row r="6" spans="1:17" x14ac:dyDescent="0.25">
      <c r="A6" s="482">
        <v>9257025</v>
      </c>
      <c r="B6" s="784" t="s">
        <v>815</v>
      </c>
      <c r="C6" s="674">
        <f>VLOOKUP(A6,'2627 Places &amp; Banding'!$1:$1048576,19,(FALSE))</f>
        <v>113.16666666666666</v>
      </c>
      <c r="D6" s="511">
        <f>C6*'2627 Summary'!$B$13</f>
        <v>1131666.6666666665</v>
      </c>
      <c r="E6" s="511">
        <f>VLOOKUP(A6,'2627 Places &amp; Banding'!$1:$1048576,29,(FALSE))</f>
        <v>749446.36245615955</v>
      </c>
      <c r="F6" s="670">
        <f>VLOOKUP(A6,'2627 Places &amp; Banding'!$1:$1048576,31,(FALSE))</f>
        <v>0</v>
      </c>
      <c r="G6" s="670">
        <f>VLOOKUP(A6,'2627 Places &amp; Banding'!$1:$1048576,33,(FALSE))</f>
        <v>60922.333333333343</v>
      </c>
      <c r="H6" s="670">
        <f t="shared" si="0"/>
        <v>1942035.3624561594</v>
      </c>
      <c r="I6" s="670">
        <f>VLOOKUP(A6,'2627 Places &amp; Banding'!$1:$1048576,80,(FALSE))</f>
        <v>0</v>
      </c>
      <c r="J6" s="670">
        <f>VLOOKUP(A6,'2627 Places &amp; Banding'!$1:$1048576,35,(FALSE))</f>
        <v>40905</v>
      </c>
      <c r="K6" s="670"/>
      <c r="L6" s="511">
        <f>VLOOKUP(A6,'2627 Places &amp; Banding'!$1:$1048576,42,(FALSE))</f>
        <v>74525.000000000015</v>
      </c>
      <c r="M6" s="511">
        <f>VLOOKUP(A6,'2627 Places &amp; Banding'!$1:$1048576,44,(FALSE))</f>
        <v>68400.823882466182</v>
      </c>
      <c r="N6" s="511">
        <f>VLOOKUP(A6,'2627 Places &amp; Banding'!$1:$1048576,41,(FALSE))</f>
        <v>344170.00000000006</v>
      </c>
      <c r="P6" s="670">
        <f>VLOOKUP(A6,'2627 Places &amp; Banding'!$1:$1048576,36,(FALSE))</f>
        <v>26409.082211359226</v>
      </c>
      <c r="Q6" s="511">
        <f t="shared" si="1"/>
        <v>2496445.2685499853</v>
      </c>
    </row>
    <row r="7" spans="1:17" x14ac:dyDescent="0.25">
      <c r="A7" s="482">
        <v>9257024</v>
      </c>
      <c r="B7" s="784" t="s">
        <v>816</v>
      </c>
      <c r="C7" s="674">
        <f>VLOOKUP(A7,'2627 Places &amp; Banding'!$1:$1048576,19,(FALSE))</f>
        <v>115.08333333333334</v>
      </c>
      <c r="D7" s="511">
        <f>C7*'2627 Summary'!$B$13</f>
        <v>1150833.3333333335</v>
      </c>
      <c r="E7" s="511">
        <f>VLOOKUP(A7,'2627 Places &amp; Banding'!$1:$1048576,29,(FALSE))</f>
        <v>633356.90234396688</v>
      </c>
      <c r="F7" s="670">
        <f>VLOOKUP(A7,'2627 Places &amp; Banding'!$1:$1048576,31,(FALSE))</f>
        <v>0</v>
      </c>
      <c r="G7" s="670">
        <f>VLOOKUP(A7,'2627 Places &amp; Banding'!$1:$1048576,33,(FALSE))</f>
        <v>57752.16666666665</v>
      </c>
      <c r="H7" s="670">
        <f t="shared" si="0"/>
        <v>1841942.4023439672</v>
      </c>
      <c r="I7" s="670">
        <f>VLOOKUP(A7,'2627 Places &amp; Banding'!$1:$1048576,80,(FALSE))</f>
        <v>-113.52459558666624</v>
      </c>
      <c r="J7" s="670">
        <f>VLOOKUP(A7,'2627 Places &amp; Banding'!$1:$1048576,35,(FALSE))</f>
        <v>33835</v>
      </c>
      <c r="K7" s="670"/>
      <c r="L7" s="511">
        <f>VLOOKUP(A7,'2627 Places &amp; Banding'!$1:$1048576,42,(FALSE))</f>
        <v>76285</v>
      </c>
      <c r="M7" s="511">
        <f>VLOOKUP(A7,'2627 Places &amp; Banding'!$1:$1048576,44,(FALSE))</f>
        <v>70707.119905136147</v>
      </c>
      <c r="N7" s="511">
        <f>VLOOKUP(A7,'2627 Places &amp; Banding'!$1:$1048576,41,(FALSE))</f>
        <v>352298</v>
      </c>
      <c r="P7" s="670">
        <f>VLOOKUP(A7,'2627 Places &amp; Banding'!$1:$1048576,36,(FALSE))</f>
        <v>30051.714240512221</v>
      </c>
      <c r="Q7" s="511">
        <f t="shared" si="1"/>
        <v>2405005.7118940293</v>
      </c>
    </row>
    <row r="8" spans="1:17" x14ac:dyDescent="0.25">
      <c r="A8" s="482">
        <v>9257033</v>
      </c>
      <c r="B8" s="784" t="s">
        <v>814</v>
      </c>
      <c r="C8" s="674">
        <f>VLOOKUP(A8,'2627 Places &amp; Banding'!$1:$1048576,19,(FALSE))</f>
        <v>127.00000000000001</v>
      </c>
      <c r="D8" s="511">
        <f>C8*'2627 Summary'!$B$13</f>
        <v>1270000.0000000002</v>
      </c>
      <c r="E8" s="511">
        <f>VLOOKUP(A8,'2627 Places &amp; Banding'!$1:$1048576,29,(FALSE))</f>
        <v>900328.96696804173</v>
      </c>
      <c r="F8" s="670">
        <f>VLOOKUP(A8,'2627 Places &amp; Banding'!$1:$1048576,31,(FALSE))</f>
        <v>0</v>
      </c>
      <c r="G8" s="670">
        <f>VLOOKUP(A8,'2627 Places &amp; Banding'!$1:$1048576,33,(FALSE))</f>
        <v>38041.999999999978</v>
      </c>
      <c r="H8" s="670">
        <f t="shared" si="0"/>
        <v>2208370.9669680418</v>
      </c>
      <c r="I8" s="670">
        <f>VLOOKUP(A8,'2627 Places &amp; Banding'!$1:$1048576,80,(FALSE))</f>
        <v>0</v>
      </c>
      <c r="J8" s="670">
        <f>VLOOKUP(A8,'2627 Places &amp; Banding'!$1:$1048576,35,(FALSE))</f>
        <v>41410</v>
      </c>
      <c r="K8" s="670"/>
      <c r="L8" s="511">
        <f>VLOOKUP(A8,'2627 Places &amp; Banding'!$1:$1048576,42,(FALSE))</f>
        <v>83820.000000000015</v>
      </c>
      <c r="M8" s="511">
        <f>VLOOKUP(A8,'2627 Places &amp; Banding'!$1:$1048576,44,(FALSE))</f>
        <v>63792.213217756384</v>
      </c>
      <c r="N8" s="511">
        <f>VLOOKUP(A8,'2627 Places &amp; Banding'!$1:$1048576,41,(FALSE))</f>
        <v>387096.00000000006</v>
      </c>
      <c r="P8" s="670">
        <f>VLOOKUP(A8,'2627 Places &amp; Banding'!$1:$1048576,36,(FALSE))</f>
        <v>33694.34626966522</v>
      </c>
      <c r="Q8" s="511">
        <f t="shared" si="1"/>
        <v>2818183.5264554634</v>
      </c>
    </row>
    <row r="9" spans="1:17" x14ac:dyDescent="0.25">
      <c r="A9" s="482">
        <v>9257008</v>
      </c>
      <c r="B9" s="784" t="s">
        <v>744</v>
      </c>
      <c r="C9" s="674">
        <f>VLOOKUP(A9,'2627 Places &amp; Banding'!$1:$1048576,19,(FALSE))</f>
        <v>101</v>
      </c>
      <c r="D9" s="511">
        <f>C9*'2627 Summary'!$B$13</f>
        <v>1010000</v>
      </c>
      <c r="E9" s="511">
        <f>VLOOKUP(A9,'2627 Places &amp; Banding'!$1:$1048576,29,(FALSE))</f>
        <v>673593.77729683486</v>
      </c>
      <c r="F9" s="670">
        <f>VLOOKUP(A9,'2627 Places &amp; Banding'!$1:$1048576,31,(FALSE))</f>
        <v>0</v>
      </c>
      <c r="G9" s="670">
        <f>VLOOKUP(A9,'2627 Places &amp; Banding'!$1:$1048576,33,(FALSE))</f>
        <v>81046</v>
      </c>
      <c r="H9" s="670">
        <f t="shared" si="0"/>
        <v>1764639.7772968349</v>
      </c>
      <c r="I9" s="670">
        <f>VLOOKUP(A9,'2627 Places &amp; Banding'!$1:$1048576,80,(FALSE))</f>
        <v>0</v>
      </c>
      <c r="J9" s="670">
        <f>VLOOKUP(A9,'2627 Places &amp; Banding'!$1:$1048576,35,(FALSE))</f>
        <v>25755</v>
      </c>
      <c r="K9" s="670"/>
      <c r="L9" s="511">
        <f>VLOOKUP(A9,'2627 Places &amp; Banding'!$1:$1048576,42,(FALSE))</f>
        <v>66660</v>
      </c>
      <c r="M9" s="511">
        <f>VLOOKUP(A9,'2627 Places &amp; Banding'!$1:$1048576,44,(FALSE))</f>
        <v>51891.972680592837</v>
      </c>
      <c r="N9" s="511">
        <f>VLOOKUP(A9,'2627 Places &amp; Banding'!$1:$1048576,41,(FALSE))</f>
        <v>307848</v>
      </c>
      <c r="P9" s="670">
        <f>VLOOKUP(A9,'2627 Places &amp; Banding'!$1:$1048576,36,(FALSE))</f>
        <v>20489.805163985606</v>
      </c>
      <c r="Q9" s="511">
        <f t="shared" si="1"/>
        <v>2237284.5551414131</v>
      </c>
    </row>
    <row r="10" spans="1:17" x14ac:dyDescent="0.25">
      <c r="A10" s="482">
        <v>9257034</v>
      </c>
      <c r="B10" s="784" t="s">
        <v>813</v>
      </c>
      <c r="C10" s="674">
        <f>VLOOKUP(A10,'2627 Places &amp; Banding'!$1:$1048576,19,(FALSE))</f>
        <v>165</v>
      </c>
      <c r="D10" s="511">
        <f>C10*'2627 Summary'!$B$13</f>
        <v>1650000</v>
      </c>
      <c r="E10" s="511">
        <f>VLOOKUP(A10,'2627 Places &amp; Banding'!$1:$1048576,29,(FALSE))</f>
        <v>829475.65205580625</v>
      </c>
      <c r="F10" s="670">
        <f>VLOOKUP(A10,'2627 Places &amp; Banding'!$1:$1048576,31,(FALSE))</f>
        <v>0</v>
      </c>
      <c r="G10" s="670">
        <f>VLOOKUP(A10,'2627 Places &amp; Banding'!$1:$1048576,33,(FALSE))</f>
        <v>0</v>
      </c>
      <c r="H10" s="670">
        <f t="shared" si="0"/>
        <v>2479475.6520558065</v>
      </c>
      <c r="I10" s="670">
        <f>VLOOKUP(A10,'2627 Places &amp; Banding'!$1:$1048576,80,(FALSE))</f>
        <v>-8760.716909633411</v>
      </c>
      <c r="J10" s="670">
        <f>VLOOKUP(A10,'2627 Places &amp; Banding'!$1:$1048576,35,(FALSE))</f>
        <v>47470</v>
      </c>
      <c r="K10" s="670"/>
      <c r="L10" s="511">
        <f>VLOOKUP(A10,'2627 Places &amp; Banding'!$1:$1048576,42,(FALSE))</f>
        <v>108900</v>
      </c>
      <c r="M10" s="511">
        <f>VLOOKUP(A10,'2627 Places &amp; Banding'!$1:$1048576,44,(FALSE))</f>
        <v>80652.127602704204</v>
      </c>
      <c r="N10" s="511">
        <f>VLOOKUP(A10,'2627 Places &amp; Banding'!$1:$1048576,41,(FALSE))</f>
        <v>502920</v>
      </c>
      <c r="P10" s="670">
        <f>VLOOKUP(A10,'2627 Places &amp; Banding'!$1:$1048576,36,(FALSE))</f>
        <v>37336.97829881822</v>
      </c>
      <c r="Q10" s="511">
        <f t="shared" si="1"/>
        <v>3247994.0410476956</v>
      </c>
    </row>
    <row r="11" spans="1:17" x14ac:dyDescent="0.25">
      <c r="A11" s="482">
        <v>9257009</v>
      </c>
      <c r="B11" s="784" t="s">
        <v>745</v>
      </c>
      <c r="C11" s="674">
        <f>VLOOKUP(A11,'2627 Places &amp; Banding'!$1:$1048576,19,(FALSE))</f>
        <v>240.00000000000003</v>
      </c>
      <c r="D11" s="511">
        <f>C11*'2627 Summary'!$B$13</f>
        <v>2400000.0000000005</v>
      </c>
      <c r="E11" s="511">
        <f>VLOOKUP(A11,'2627 Places &amp; Banding'!$1:$1048576,29,(FALSE))</f>
        <v>1670599.7178050471</v>
      </c>
      <c r="F11" s="670">
        <f>VLOOKUP(A11,'2627 Places &amp; Banding'!$1:$1048576,31,(FALSE))</f>
        <v>82700</v>
      </c>
      <c r="G11" s="670">
        <f>VLOOKUP(A11,'2627 Places &amp; Banding'!$1:$1048576,33,(FALSE))</f>
        <v>0</v>
      </c>
      <c r="H11" s="670">
        <f t="shared" si="0"/>
        <v>4153299.7178050475</v>
      </c>
      <c r="I11" s="670">
        <f>VLOOKUP(A11,'2627 Places &amp; Banding'!$1:$1048576,80,(FALSE))</f>
        <v>0</v>
      </c>
      <c r="J11" s="670">
        <f>VLOOKUP(A11,'2627 Places &amp; Banding'!$1:$1048576,35,(FALSE))</f>
        <v>60095</v>
      </c>
      <c r="K11" s="670"/>
      <c r="L11" s="511">
        <f>VLOOKUP(A11,'2627 Places &amp; Banding'!$1:$1048576,42,(FALSE))</f>
        <v>158400</v>
      </c>
      <c r="M11" s="511">
        <f>VLOOKUP(A11,'2627 Places &amp; Banding'!$1:$1048576,44,(FALSE))</f>
        <v>134931.92756713403</v>
      </c>
      <c r="N11" s="511">
        <f>VLOOKUP(A11,'2627 Places &amp; Banding'!$1:$1048576,41,(FALSE))</f>
        <v>731520</v>
      </c>
      <c r="P11" s="670">
        <f>VLOOKUP(A11,'2627 Places &amp; Banding'!$1:$1048576,36,(FALSE))</f>
        <v>49630.861397209577</v>
      </c>
      <c r="Q11" s="511">
        <f t="shared" si="1"/>
        <v>5287877.5067693908</v>
      </c>
    </row>
    <row r="12" spans="1:17" x14ac:dyDescent="0.25">
      <c r="A12" s="482">
        <v>9257028</v>
      </c>
      <c r="B12" s="784" t="s">
        <v>749</v>
      </c>
      <c r="C12" s="674">
        <f>VLOOKUP(A12,'2627 Places &amp; Banding'!$1:$1048576,19,(FALSE))</f>
        <v>148</v>
      </c>
      <c r="D12" s="511">
        <f>C12*'2627 Summary'!$B$13</f>
        <v>1480000</v>
      </c>
      <c r="E12" s="511">
        <f>VLOOKUP(A12,'2627 Places &amp; Banding'!$1:$1048576,29,(FALSE))</f>
        <v>1665690.7138067563</v>
      </c>
      <c r="F12" s="670">
        <f>VLOOKUP(A12,'2627 Places &amp; Banding'!$1:$1048576,31,(FALSE))</f>
        <v>0</v>
      </c>
      <c r="G12" s="670">
        <f>VLOOKUP(A12,'2627 Places &amp; Banding'!$1:$1048576,33,(FALSE))</f>
        <v>3308</v>
      </c>
      <c r="H12" s="670">
        <f t="shared" si="0"/>
        <v>3148998.7138067563</v>
      </c>
      <c r="I12" s="670">
        <f>VLOOKUP(A12,'2627 Places &amp; Banding'!$1:$1048576,80,(FALSE))</f>
        <v>-17631.397443918933</v>
      </c>
      <c r="J12" s="670">
        <f>VLOOKUP(A12,'2627 Places &amp; Banding'!$1:$1048576,35,(FALSE))</f>
        <v>28280</v>
      </c>
      <c r="K12" s="670"/>
      <c r="L12" s="511">
        <f>VLOOKUP(A12,'2627 Places &amp; Banding'!$1:$1048576,42,(FALSE))</f>
        <v>97680</v>
      </c>
      <c r="M12" s="511">
        <f>VLOOKUP(A12,'2627 Places &amp; Banding'!$1:$1048576,44,(FALSE))</f>
        <v>89509.427943075527</v>
      </c>
      <c r="N12" s="511">
        <f>VLOOKUP(A12,'2627 Places &amp; Banding'!$1:$1048576,41,(FALSE))</f>
        <v>451104</v>
      </c>
      <c r="P12" s="670">
        <f>VLOOKUP(A12,'2627 Places &amp; Banding'!$1:$1048576,36,(FALSE))</f>
        <v>15025.857120256111</v>
      </c>
      <c r="Q12" s="511">
        <f t="shared" si="1"/>
        <v>3812966.6014261688</v>
      </c>
    </row>
    <row r="13" spans="1:17" x14ac:dyDescent="0.25">
      <c r="A13" s="482">
        <v>9257021</v>
      </c>
      <c r="B13" s="784" t="s">
        <v>346</v>
      </c>
      <c r="C13" s="674">
        <f>VLOOKUP(A13,'2627 Places &amp; Banding'!$1:$1048576,19,(FALSE))</f>
        <v>180</v>
      </c>
      <c r="D13" s="511">
        <f>C13*'2627 Summary'!$B$13</f>
        <v>1800000</v>
      </c>
      <c r="E13" s="511">
        <f>VLOOKUP(A13,'2627 Places &amp; Banding'!$1:$1048576,29,(FALSE))</f>
        <v>935058.58600798645</v>
      </c>
      <c r="F13" s="670">
        <f>VLOOKUP(A13,'2627 Places &amp; Banding'!$1:$1048576,31,(FALSE))</f>
        <v>0</v>
      </c>
      <c r="G13" s="670">
        <f>VLOOKUP(A13,'2627 Places &amp; Banding'!$1:$1048576,33,(FALSE))</f>
        <v>0</v>
      </c>
      <c r="H13" s="670">
        <f t="shared" si="0"/>
        <v>2735058.5860079862</v>
      </c>
      <c r="I13" s="670">
        <f>VLOOKUP(A13,'2627 Places &amp; Banding'!$1:$1048576,80,(FALSE))</f>
        <v>-34636.29675399328</v>
      </c>
      <c r="J13" s="670">
        <f>VLOOKUP(A13,'2627 Places &amp; Banding'!$1:$1048576,35,(FALSE))</f>
        <v>58580</v>
      </c>
      <c r="K13" s="670"/>
      <c r="L13" s="511">
        <f>VLOOKUP(A13,'2627 Places &amp; Banding'!$1:$1048576,42,(FALSE))</f>
        <v>118800</v>
      </c>
      <c r="M13" s="511">
        <f>VLOOKUP(A13,'2627 Places &amp; Banding'!$1:$1048576,44,(FALSE))</f>
        <v>84759.556688645636</v>
      </c>
      <c r="N13" s="511">
        <f>VLOOKUP(A13,'2627 Places &amp; Banding'!$1:$1048576,41,(FALSE))</f>
        <v>548640</v>
      </c>
      <c r="P13" s="670">
        <f>VLOOKUP(A13,'2627 Places &amp; Banding'!$1:$1048576,36,(FALSE))</f>
        <v>49175.532393565452</v>
      </c>
      <c r="Q13" s="511">
        <f t="shared" si="1"/>
        <v>3560377.3783362042</v>
      </c>
    </row>
    <row r="14" spans="1:17" x14ac:dyDescent="0.25">
      <c r="A14" s="482">
        <v>9257015</v>
      </c>
      <c r="B14" s="784" t="s">
        <v>818</v>
      </c>
      <c r="C14" s="674">
        <f>VLOOKUP(A14,'2627 Places &amp; Banding'!$1:$1048576,19,(FALSE))</f>
        <v>320</v>
      </c>
      <c r="D14" s="511">
        <f>C14*'2627 Summary'!$B$13</f>
        <v>3200000</v>
      </c>
      <c r="E14" s="511">
        <f>VLOOKUP(A14,'2627 Places &amp; Banding'!$1:$1048576,29,(FALSE))</f>
        <v>3048011.3889489141</v>
      </c>
      <c r="F14" s="670">
        <f>VLOOKUP(A14,'2627 Places &amp; Banding'!$1:$1048576,31,(FALSE))</f>
        <v>82700</v>
      </c>
      <c r="G14" s="670">
        <f>VLOOKUP(A14,'2627 Places &amp; Banding'!$1:$1048576,33,(FALSE))</f>
        <v>0</v>
      </c>
      <c r="H14" s="670">
        <f>SUM(D14:G14)</f>
        <v>6330711.3889489137</v>
      </c>
      <c r="I14" s="670">
        <f>VLOOKUP(A14,'2627 Places &amp; Banding'!$1:$1048576,80,(FALSE))</f>
        <v>-25120.619474456544</v>
      </c>
      <c r="J14" s="670">
        <f>VLOOKUP(A14,'2627 Places &amp; Banding'!$1:$1048576,35,(FALSE))</f>
        <v>79790</v>
      </c>
      <c r="K14" s="670"/>
      <c r="L14" s="511">
        <f>VLOOKUP(A14,'2627 Places &amp; Banding'!$1:$1048576,42,(FALSE))</f>
        <v>211200</v>
      </c>
      <c r="M14" s="511">
        <f>VLOOKUP(A14,'2627 Places &amp; Banding'!$1:$1048576,44,(FALSE))</f>
        <v>148813.31687212817</v>
      </c>
      <c r="N14" s="511">
        <f>VLOOKUP(A14,'2627 Places &amp; Banding'!$1:$1048576,41,(FALSE))</f>
        <v>975360</v>
      </c>
      <c r="P14" s="670">
        <f>VLOOKUP(A14,'2627 Places &amp; Banding'!$1:$1048576,36,(FALSE))</f>
        <v>44622.242357124211</v>
      </c>
      <c r="Q14" s="511">
        <f t="shared" si="1"/>
        <v>7765376.3287037099</v>
      </c>
    </row>
    <row r="15" spans="1:17" x14ac:dyDescent="0.25">
      <c r="A15" s="482">
        <v>9257016</v>
      </c>
      <c r="B15" s="784" t="s">
        <v>817</v>
      </c>
      <c r="C15" s="674">
        <f>VLOOKUP(A15,'2627 Places &amp; Banding'!$1:$1048576,19,(FALSE))</f>
        <v>176</v>
      </c>
      <c r="D15" s="511">
        <f>C15*'2627 Summary'!$B$13</f>
        <v>1760000</v>
      </c>
      <c r="E15" s="511">
        <f>VLOOKUP(A15,'2627 Places &amp; Banding'!$1:$1048576,29,(FALSE))</f>
        <v>3131386.9029526599</v>
      </c>
      <c r="F15" s="670">
        <f>VLOOKUP(A15,'2627 Places &amp; Banding'!$1:$1048576,31,(FALSE))</f>
        <v>0</v>
      </c>
      <c r="G15" s="670">
        <f>VLOOKUP(A15,'2627 Places &amp; Banding'!$1:$1048576,33,(FALSE))</f>
        <v>0</v>
      </c>
      <c r="H15" s="670">
        <f t="shared" si="0"/>
        <v>4891386.9029526599</v>
      </c>
      <c r="I15" s="670">
        <f>VLOOKUP(A15,'2627 Places &amp; Banding'!$1:$1048576,80,(FALSE))</f>
        <v>-129876.55389110325</v>
      </c>
      <c r="J15" s="670">
        <f>VLOOKUP(A15,'2627 Places &amp; Banding'!$1:$1048576,35,(FALSE))</f>
        <v>52015</v>
      </c>
      <c r="K15" s="670"/>
      <c r="L15" s="511">
        <f>VLOOKUP(A15,'2627 Places &amp; Banding'!$1:$1048576,42,(FALSE))</f>
        <v>116160</v>
      </c>
      <c r="M15" s="511">
        <f>VLOOKUP(A15,'2627 Places &amp; Banding'!$1:$1048576,44,(FALSE))</f>
        <v>117289.88899595843</v>
      </c>
      <c r="N15" s="511">
        <f>VLOOKUP(A15,'2627 Places &amp; Banding'!$1:$1048576,41,(FALSE))</f>
        <v>536448</v>
      </c>
      <c r="P15" s="670">
        <f>VLOOKUP(A15,'2627 Places &amp; Banding'!$1:$1048576,36,(FALSE))</f>
        <v>2731.9740218647476</v>
      </c>
      <c r="Q15" s="511">
        <f t="shared" si="1"/>
        <v>5586155.2120793797</v>
      </c>
    </row>
    <row r="16" spans="1:17" x14ac:dyDescent="0.25">
      <c r="A16" s="482">
        <v>9257031</v>
      </c>
      <c r="B16" s="784" t="s">
        <v>356</v>
      </c>
      <c r="C16" s="674">
        <f>VLOOKUP(A16,'2627 Places &amp; Banding'!$1:$1048576,19,(FALSE))</f>
        <v>81</v>
      </c>
      <c r="D16" s="511">
        <f>C16*'2627 Summary'!$B$13</f>
        <v>810000</v>
      </c>
      <c r="E16" s="511">
        <f>VLOOKUP(A16,'2627 Places &amp; Banding'!$1:$1048576,29,(FALSE))</f>
        <v>1018232.3959652497</v>
      </c>
      <c r="F16" s="670">
        <f>VLOOKUP(A16,'2627 Places &amp; Banding'!$1:$1048576,31,(FALSE))</f>
        <v>0</v>
      </c>
      <c r="G16" s="670">
        <f>VLOOKUP(A16,'2627 Places &amp; Banding'!$1:$1048576,33,(FALSE))</f>
        <v>0</v>
      </c>
      <c r="H16" s="670">
        <f t="shared" si="0"/>
        <v>1828232.3959652497</v>
      </c>
      <c r="I16" s="670">
        <f>VLOOKUP(A16,'2627 Places &amp; Banding'!$1:$1048576,80,(FALSE))</f>
        <v>-46670.760019661757</v>
      </c>
      <c r="J16" s="670">
        <f>VLOOKUP(A16,'2627 Places &amp; Banding'!$1:$1048576,35,(FALSE))</f>
        <v>25250</v>
      </c>
      <c r="K16" s="670">
        <v>247857</v>
      </c>
      <c r="L16" s="511">
        <f>VLOOKUP(A16,'2627 Places &amp; Banding'!$1:$1048576,42,(FALSE))</f>
        <v>53460</v>
      </c>
      <c r="M16" s="511">
        <f>VLOOKUP(A16,'2627 Places &amp; Banding'!$1:$1048576,44,(FALSE))</f>
        <v>61058.54104176</v>
      </c>
      <c r="N16" s="511">
        <f>VLOOKUP(A16,'2627 Places &amp; Banding'!$1:$1048576,41,(FALSE))</f>
        <v>246888</v>
      </c>
      <c r="P16" s="670">
        <f>VLOOKUP(A16,'2627 Places &amp; Banding'!$1:$1048576,36,(FALSE))</f>
        <v>0</v>
      </c>
      <c r="Q16" s="511">
        <f t="shared" si="1"/>
        <v>2416075.1769873477</v>
      </c>
    </row>
    <row r="17" spans="1:17" x14ac:dyDescent="0.25">
      <c r="A17" s="482">
        <v>9257029</v>
      </c>
      <c r="B17" s="785" t="s">
        <v>302</v>
      </c>
      <c r="C17" s="674">
        <f>VLOOKUP(A17,'2627 Places &amp; Banding'!$1:$1048576,19,(FALSE))</f>
        <v>82</v>
      </c>
      <c r="D17" s="511">
        <f>C17*'2627 Summary'!$B$13</f>
        <v>820000</v>
      </c>
      <c r="E17" s="511">
        <f>VLOOKUP(A17,'2627 Places &amp; Banding'!$1:$1048576,29,(FALSE))</f>
        <v>1003962.8632131709</v>
      </c>
      <c r="F17" s="670">
        <f>VLOOKUP(A17,'2627 Places &amp; Banding'!$1:$1048576,31,(FALSE))</f>
        <v>0</v>
      </c>
      <c r="G17" s="670">
        <f>VLOOKUP(A17,'2627 Places &amp; Banding'!$1:$1048576,33,(FALSE))</f>
        <v>0</v>
      </c>
      <c r="H17" s="670">
        <f t="shared" si="0"/>
        <v>1823962.8632131708</v>
      </c>
      <c r="I17" s="670">
        <f>VLOOKUP(A17,'2627 Places &amp; Banding'!$1:$1048576,80,(FALSE))</f>
        <v>-64657.622155365927</v>
      </c>
      <c r="J17" s="670">
        <f>VLOOKUP(A17,'2627 Places &amp; Banding'!$1:$1048576,35,(FALSE))</f>
        <v>23230</v>
      </c>
      <c r="K17" s="670">
        <v>259479</v>
      </c>
      <c r="L17" s="511">
        <f>VLOOKUP(A17,'2627 Places &amp; Banding'!$1:$1048576,42,(FALSE))</f>
        <v>54120</v>
      </c>
      <c r="M17" s="511">
        <f>VLOOKUP(A17,'2627 Places &amp; Banding'!$1:$1048576,44,(FALSE))</f>
        <v>61491.109134190134</v>
      </c>
      <c r="N17" s="511">
        <f>VLOOKUP(A17,'2627 Places &amp; Banding'!$1:$1048576,41,(FALSE))</f>
        <v>249936</v>
      </c>
      <c r="P17" s="670">
        <f>VLOOKUP(A17,'2627 Places &amp; Banding'!$1:$1048576,36,(FALSE))</f>
        <v>0</v>
      </c>
      <c r="Q17" s="511">
        <f t="shared" si="1"/>
        <v>2407561.350191995</v>
      </c>
    </row>
    <row r="18" spans="1:17" x14ac:dyDescent="0.25">
      <c r="A18" s="482">
        <v>9257032</v>
      </c>
      <c r="B18" s="784" t="s">
        <v>357</v>
      </c>
      <c r="C18" s="674">
        <f>VLOOKUP(A18,'2627 Places &amp; Banding'!$1:$1048576,19,(FALSE))</f>
        <v>117</v>
      </c>
      <c r="D18" s="511">
        <f>C18*'2627 Summary'!$B$13</f>
        <v>1170000</v>
      </c>
      <c r="E18" s="511">
        <f>VLOOKUP(A18,'2627 Places &amp; Banding'!$1:$1048576,29,(FALSE))</f>
        <v>1555379.0699765878</v>
      </c>
      <c r="F18" s="670">
        <f>VLOOKUP(A18,'2627 Places &amp; Banding'!$1:$1048576,31,(FALSE))</f>
        <v>0</v>
      </c>
      <c r="G18" s="670">
        <f>VLOOKUP(A18,'2627 Places &amp; Banding'!$1:$1048576,33,(FALSE))</f>
        <v>0</v>
      </c>
      <c r="H18" s="670">
        <f t="shared" si="0"/>
        <v>2725379.0699765878</v>
      </c>
      <c r="I18" s="670">
        <f>VLOOKUP(A18,'2627 Places &amp; Banding'!$1:$1048576,80,(FALSE))</f>
        <v>-101031.09011649893</v>
      </c>
      <c r="J18" s="670">
        <f>VLOOKUP(A18,'2627 Places &amp; Banding'!$1:$1048576,35,(FALSE))</f>
        <v>35855</v>
      </c>
      <c r="K18" s="670">
        <v>259479</v>
      </c>
      <c r="L18" s="511">
        <f>VLOOKUP(A18,'2627 Places &amp; Banding'!$1:$1048576,42,(FALSE))</f>
        <v>77220</v>
      </c>
      <c r="M18" s="511">
        <f>VLOOKUP(A18,'2627 Places &amp; Banding'!$1:$1048576,44,(FALSE))</f>
        <v>88551.924795097133</v>
      </c>
      <c r="N18" s="511">
        <f>VLOOKUP(A18,'2627 Places &amp; Banding'!$1:$1048576,41,(FALSE))</f>
        <v>356616</v>
      </c>
      <c r="P18" s="670">
        <f>VLOOKUP(A18,'2627 Places &amp; Banding'!$1:$1048576,36,(FALSE))</f>
        <v>0</v>
      </c>
      <c r="Q18" s="511">
        <f t="shared" si="1"/>
        <v>3442069.904655186</v>
      </c>
    </row>
    <row r="19" spans="1:17" x14ac:dyDescent="0.25">
      <c r="A19" s="482">
        <v>9257030</v>
      </c>
      <c r="B19" s="785" t="s">
        <v>358</v>
      </c>
      <c r="C19" s="674">
        <f>VLOOKUP(A19,'2627 Places &amp; Banding'!$1:$1048576,19,(FALSE))</f>
        <v>85</v>
      </c>
      <c r="D19" s="511">
        <f>C19*'2627 Summary'!$B$13</f>
        <v>850000</v>
      </c>
      <c r="E19" s="511">
        <f>VLOOKUP(A19,'2627 Places &amp; Banding'!$1:$1048576,29,(FALSE))</f>
        <v>1249941.967043614</v>
      </c>
      <c r="F19" s="670">
        <f>VLOOKUP(A19,'2627 Places &amp; Banding'!$1:$1048576,31,(FALSE))</f>
        <v>0</v>
      </c>
      <c r="G19" s="670">
        <f>VLOOKUP(A19,'2627 Places &amp; Banding'!$1:$1048576,33,(FALSE))</f>
        <v>0</v>
      </c>
      <c r="H19" s="670">
        <f t="shared" si="0"/>
        <v>2099941.967043614</v>
      </c>
      <c r="I19" s="670">
        <f>VLOOKUP(A19,'2627 Places &amp; Banding'!$1:$1048576,80,(FALSE))</f>
        <v>-83983.808521806917</v>
      </c>
      <c r="J19" s="670">
        <f>VLOOKUP(A19,'2627 Places &amp; Banding'!$1:$1048576,35,(FALSE))</f>
        <v>27775</v>
      </c>
      <c r="K19" s="670">
        <v>271457</v>
      </c>
      <c r="L19" s="511">
        <f>VLOOKUP(A19,'2627 Places &amp; Banding'!$1:$1048576,42,(FALSE))</f>
        <v>56100</v>
      </c>
      <c r="M19" s="511">
        <f>VLOOKUP(A19,'2627 Places &amp; Banding'!$1:$1048576,44,(FALSE))</f>
        <v>66001.684265818243</v>
      </c>
      <c r="N19" s="511">
        <f>VLOOKUP(A19,'2627 Places &amp; Banding'!$1:$1048576,41,(FALSE))</f>
        <v>259080</v>
      </c>
      <c r="P19" s="670">
        <f>VLOOKUP(A19,'2627 Places &amp; Banding'!$1:$1048576,36,(FALSE))</f>
        <v>0</v>
      </c>
      <c r="Q19" s="511">
        <f t="shared" si="1"/>
        <v>2696371.8427876253</v>
      </c>
    </row>
    <row r="20" spans="1:17" x14ac:dyDescent="0.25">
      <c r="A20" s="490"/>
      <c r="C20" s="705"/>
      <c r="D20" s="496"/>
      <c r="E20" s="496"/>
      <c r="F20" s="707"/>
      <c r="G20" s="707"/>
      <c r="H20" s="707"/>
      <c r="I20" s="707"/>
      <c r="J20" s="707"/>
      <c r="K20" s="707"/>
    </row>
    <row r="21" spans="1:17" x14ac:dyDescent="0.25">
      <c r="A21" s="490"/>
      <c r="C21" s="513">
        <f>SUM(C4:C19)</f>
        <v>2468.416666666667</v>
      </c>
      <c r="D21" s="496">
        <f>SUM(D4:D19)</f>
        <v>24684166.666666668</v>
      </c>
      <c r="E21" s="496">
        <f t="shared" ref="E21:K21" si="2">SUM(E4:E19)</f>
        <v>22155602.5546479</v>
      </c>
      <c r="F21" s="496">
        <f t="shared" si="2"/>
        <v>248100</v>
      </c>
      <c r="G21" s="496">
        <f t="shared" si="2"/>
        <v>241070.49999999997</v>
      </c>
      <c r="H21" s="496">
        <f t="shared" si="2"/>
        <v>47328939.721314572</v>
      </c>
      <c r="I21" s="496">
        <f t="shared" si="2"/>
        <v>-532033.9957656404</v>
      </c>
      <c r="J21" s="496">
        <f t="shared" si="2"/>
        <v>686295</v>
      </c>
      <c r="K21" s="496">
        <f t="shared" si="2"/>
        <v>1038272</v>
      </c>
      <c r="L21" s="496">
        <f>SUM(L4:L19)</f>
        <v>1629210</v>
      </c>
      <c r="M21" s="496">
        <f>SUM(M4:M19)</f>
        <v>1423824.4093968871</v>
      </c>
      <c r="N21" s="496">
        <f t="shared" ref="N21:Q21" si="3">SUM(N4:N19)</f>
        <v>7523988</v>
      </c>
      <c r="P21" s="496">
        <f t="shared" si="3"/>
        <v>382476.36306106468</v>
      </c>
      <c r="Q21" s="496">
        <f t="shared" si="3"/>
        <v>59480971.49800688</v>
      </c>
    </row>
    <row r="22" spans="1:17" ht="13.5" customHeight="1" x14ac:dyDescent="0.25">
      <c r="A22" s="490"/>
      <c r="E22" s="762"/>
    </row>
    <row r="23" spans="1:17" ht="13.5" customHeight="1" x14ac:dyDescent="0.25">
      <c r="A23" s="490"/>
      <c r="K23" s="525"/>
      <c r="M23" s="525">
        <f>SUM(H21:M21)</f>
        <v>51574507.134945817</v>
      </c>
    </row>
    <row r="24" spans="1:17" ht="13.5" customHeight="1" x14ac:dyDescent="0.25">
      <c r="A24" s="490"/>
      <c r="M24" s="476" t="s">
        <v>878</v>
      </c>
    </row>
    <row r="25" spans="1:17" ht="13.5" customHeight="1" x14ac:dyDescent="0.25">
      <c r="A25" s="490"/>
    </row>
    <row r="26" spans="1:17" ht="13.5" customHeight="1" x14ac:dyDescent="0.25">
      <c r="A26" s="490"/>
    </row>
    <row r="27" spans="1:17" ht="13.5" customHeight="1" x14ac:dyDescent="0.25">
      <c r="A27" s="490"/>
      <c r="D27" s="474"/>
    </row>
    <row r="28" spans="1:17" ht="13.5" customHeight="1" x14ac:dyDescent="0.25">
      <c r="A28" s="490"/>
    </row>
    <row r="29" spans="1:17" ht="13.5" customHeight="1" x14ac:dyDescent="0.25">
      <c r="A29" s="490"/>
    </row>
    <row r="33" spans="1:1" x14ac:dyDescent="0.25">
      <c r="A33" s="475" t="s">
        <v>793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77E6-408D-437A-BD09-2349869A2600}">
  <sheetPr>
    <tabColor rgb="FF00B0F0"/>
  </sheetPr>
  <dimension ref="A1:CQ58"/>
  <sheetViews>
    <sheetView topLeftCell="A19" zoomScaleNormal="100" workbookViewId="0">
      <selection activeCell="O41" sqref="O41"/>
    </sheetView>
  </sheetViews>
  <sheetFormatPr defaultColWidth="9.1796875" defaultRowHeight="12.5" x14ac:dyDescent="0.25"/>
  <cols>
    <col min="1" max="1" width="9.1796875" style="680"/>
    <col min="2" max="2" width="17.54296875" style="680" customWidth="1"/>
    <col min="3" max="3" width="11.81640625" style="680" customWidth="1"/>
    <col min="4" max="10" width="9.1796875" style="680" customWidth="1"/>
    <col min="11" max="11" width="1.7265625" style="680" customWidth="1"/>
    <col min="12" max="12" width="9.81640625" style="680" bestFit="1" customWidth="1"/>
    <col min="13" max="13" width="11.1796875" style="680" bestFit="1" customWidth="1"/>
    <col min="14" max="14" width="9.1796875" style="680"/>
    <col min="15" max="15" width="11.453125" style="680" customWidth="1"/>
    <col min="16" max="16" width="9.81640625" style="680" bestFit="1" customWidth="1"/>
    <col min="17" max="17" width="9.1796875" style="680"/>
    <col min="18" max="18" width="10.453125" style="680" bestFit="1" customWidth="1"/>
    <col min="19" max="19" width="11" style="680" customWidth="1"/>
    <col min="20" max="20" width="1.7265625" style="680" customWidth="1"/>
    <col min="21" max="21" width="9.1796875" style="680"/>
    <col min="22" max="22" width="1.7265625" style="680" customWidth="1"/>
    <col min="23" max="25" width="9.1796875" style="680"/>
    <col min="26" max="26" width="10" style="680" customWidth="1"/>
    <col min="27" max="27" width="9.1796875" style="680"/>
    <col min="28" max="28" width="10.26953125" style="680" customWidth="1"/>
    <col min="29" max="29" width="10.7265625" style="680" customWidth="1"/>
    <col min="30" max="37" width="9.1796875" style="680"/>
    <col min="38" max="38" width="16.7265625" style="680" bestFit="1" customWidth="1"/>
    <col min="39" max="39" width="9.1796875" style="680"/>
    <col min="40" max="41" width="10.1796875" style="680" customWidth="1"/>
    <col min="42" max="42" width="9.81640625" style="680" customWidth="1"/>
    <col min="43" max="43" width="9.1796875" style="680"/>
    <col min="44" max="44" width="9.81640625" style="680" customWidth="1"/>
    <col min="45" max="54" width="9.1796875" style="680"/>
    <col min="55" max="55" width="9.81640625" style="679" bestFit="1" customWidth="1"/>
    <col min="56" max="56" width="9.1796875" style="679"/>
    <col min="57" max="57" width="9.81640625" style="679" bestFit="1" customWidth="1"/>
    <col min="58" max="58" width="9.1796875" style="679"/>
    <col min="59" max="59" width="9.81640625" style="679" bestFit="1" customWidth="1"/>
    <col min="60" max="60" width="10.81640625" style="679" bestFit="1" customWidth="1"/>
    <col min="61" max="61" width="10.54296875" style="679" customWidth="1"/>
    <col min="62" max="62" width="9.81640625" style="680" bestFit="1" customWidth="1"/>
    <col min="63" max="64" width="10.453125" style="680" bestFit="1" customWidth="1"/>
    <col min="65" max="65" width="9.453125" style="680" bestFit="1" customWidth="1"/>
    <col min="66" max="69" width="9.1796875" style="680"/>
    <col min="70" max="70" width="10.81640625" style="680" customWidth="1"/>
    <col min="71" max="72" width="10.81640625" style="680" bestFit="1" customWidth="1"/>
    <col min="73" max="73" width="9.81640625" style="680" bestFit="1" customWidth="1"/>
    <col min="74" max="81" width="9.81640625" style="680" customWidth="1"/>
    <col min="82" max="16384" width="9.1796875" style="680"/>
  </cols>
  <sheetData>
    <row r="1" spans="1:95" ht="13" x14ac:dyDescent="0.3">
      <c r="AT1" s="782" t="s">
        <v>902</v>
      </c>
      <c r="BD1" s="783" t="s">
        <v>903</v>
      </c>
      <c r="BY1" s="680" t="s">
        <v>909</v>
      </c>
      <c r="BZ1" s="681">
        <v>0.05</v>
      </c>
      <c r="CA1" s="761"/>
    </row>
    <row r="2" spans="1:95" ht="13" x14ac:dyDescent="0.3">
      <c r="A2" s="678" t="s">
        <v>795</v>
      </c>
      <c r="B2" s="679"/>
      <c r="C2" s="679"/>
      <c r="D2" s="679"/>
      <c r="E2" s="679"/>
      <c r="F2" s="679"/>
      <c r="G2" s="679"/>
      <c r="H2" s="679"/>
      <c r="I2" s="679"/>
      <c r="J2" s="679"/>
      <c r="K2" s="679"/>
      <c r="AE2" s="704">
        <v>82700</v>
      </c>
      <c r="AF2" s="679"/>
      <c r="AG2" s="704">
        <v>82700</v>
      </c>
      <c r="AI2" s="704">
        <v>505</v>
      </c>
      <c r="AJ2" s="681">
        <v>0.05</v>
      </c>
      <c r="AK2" s="681"/>
      <c r="AO2" s="704">
        <v>3048</v>
      </c>
      <c r="AP2" s="704">
        <v>660</v>
      </c>
      <c r="BA2" s="680" t="s">
        <v>415</v>
      </c>
      <c r="BB2" s="717">
        <f>'2627 Summary'!B34+660</f>
        <v>5736.8353422140171</v>
      </c>
      <c r="BC2" s="717"/>
      <c r="BD2" s="717">
        <f>'2627 Summary'!B35+660</f>
        <v>14929.532752078787</v>
      </c>
      <c r="BE2" s="717"/>
      <c r="BF2" s="717">
        <f>'2627 Summary'!B36+660</f>
        <v>30897.589026709502</v>
      </c>
      <c r="BY2" s="680" t="s">
        <v>910</v>
      </c>
      <c r="BZ2" s="681">
        <v>0.5</v>
      </c>
      <c r="CA2" s="761"/>
    </row>
    <row r="3" spans="1:95" ht="50.15" customHeight="1" x14ac:dyDescent="0.25">
      <c r="A3" s="679"/>
      <c r="B3" s="679"/>
      <c r="C3" s="679"/>
      <c r="D3" s="679"/>
      <c r="E3" s="679"/>
      <c r="F3" s="679"/>
      <c r="G3" s="679"/>
      <c r="H3" s="679"/>
      <c r="I3" s="679"/>
      <c r="J3" s="679"/>
      <c r="K3" s="679"/>
      <c r="AJ3" s="491"/>
      <c r="AK3" s="491"/>
      <c r="BA3" s="680" t="s">
        <v>290</v>
      </c>
      <c r="BB3" s="717">
        <f>'2627 Summary'!B18+660</f>
        <v>2956.0808352798158</v>
      </c>
      <c r="BC3" s="717"/>
      <c r="BD3" s="717">
        <f>'2627 Summary'!B19+660</f>
        <v>12062.660908162306</v>
      </c>
      <c r="BE3" s="717"/>
      <c r="BF3" s="717">
        <f>'2627 Summary'!B20+660</f>
        <v>28116.834519775301</v>
      </c>
      <c r="BK3" s="680" t="s">
        <v>888</v>
      </c>
      <c r="CJ3" s="922" t="s">
        <v>955</v>
      </c>
      <c r="CK3" s="923"/>
      <c r="CL3" s="922" t="s">
        <v>860</v>
      </c>
      <c r="CM3" s="923"/>
      <c r="CN3" s="922" t="s">
        <v>862</v>
      </c>
      <c r="CO3" s="923"/>
      <c r="CP3" s="781" t="s">
        <v>27</v>
      </c>
      <c r="CQ3" s="781" t="s">
        <v>27</v>
      </c>
    </row>
    <row r="4" spans="1:95" ht="75" x14ac:dyDescent="0.3">
      <c r="A4" s="519"/>
      <c r="B4" s="683" t="s">
        <v>279</v>
      </c>
      <c r="C4" s="684" t="s">
        <v>796</v>
      </c>
      <c r="D4" s="685" t="s">
        <v>797</v>
      </c>
      <c r="E4" s="685" t="s">
        <v>798</v>
      </c>
      <c r="F4" s="685" t="s">
        <v>799</v>
      </c>
      <c r="G4" s="685" t="s">
        <v>800</v>
      </c>
      <c r="H4" s="686" t="s">
        <v>801</v>
      </c>
      <c r="I4" s="685" t="s">
        <v>802</v>
      </c>
      <c r="J4" s="686" t="s">
        <v>260</v>
      </c>
      <c r="K4" s="699"/>
      <c r="L4" s="500" t="s">
        <v>805</v>
      </c>
      <c r="M4" s="500" t="s">
        <v>806</v>
      </c>
      <c r="N4" s="500" t="s">
        <v>809</v>
      </c>
      <c r="O4" s="500" t="s">
        <v>807</v>
      </c>
      <c r="P4" s="500" t="s">
        <v>808</v>
      </c>
      <c r="Q4" s="500" t="s">
        <v>852</v>
      </c>
      <c r="R4" s="519" t="s">
        <v>331</v>
      </c>
      <c r="S4" s="500" t="s">
        <v>810</v>
      </c>
      <c r="T4" s="700"/>
      <c r="U4" s="687" t="s">
        <v>803</v>
      </c>
      <c r="V4" s="703"/>
      <c r="W4" s="499" t="s">
        <v>288</v>
      </c>
      <c r="X4" s="499" t="s">
        <v>289</v>
      </c>
      <c r="Y4" s="499" t="s">
        <v>290</v>
      </c>
      <c r="Z4" s="499" t="s">
        <v>291</v>
      </c>
      <c r="AA4" s="499" t="s">
        <v>292</v>
      </c>
      <c r="AB4" s="499" t="s">
        <v>293</v>
      </c>
      <c r="AC4" s="501" t="s">
        <v>27</v>
      </c>
      <c r="AD4" s="786" t="s">
        <v>378</v>
      </c>
      <c r="AE4" s="786" t="s">
        <v>381</v>
      </c>
      <c r="AF4" s="786" t="s">
        <v>812</v>
      </c>
      <c r="AG4" s="786" t="s">
        <v>385</v>
      </c>
      <c r="AH4" s="771" t="s">
        <v>820</v>
      </c>
      <c r="AI4" s="771" t="s">
        <v>821</v>
      </c>
      <c r="AJ4" s="665" t="s">
        <v>857</v>
      </c>
      <c r="AK4" s="665" t="s">
        <v>858</v>
      </c>
      <c r="AL4" s="781" t="s">
        <v>846</v>
      </c>
      <c r="AM4" s="771" t="s">
        <v>851</v>
      </c>
      <c r="AN4" s="771" t="s">
        <v>824</v>
      </c>
      <c r="AO4" s="771" t="s">
        <v>859</v>
      </c>
      <c r="AP4" s="771" t="s">
        <v>860</v>
      </c>
      <c r="AQ4" s="771" t="s">
        <v>861</v>
      </c>
      <c r="AR4" s="771" t="s">
        <v>862</v>
      </c>
      <c r="AT4" s="685" t="s">
        <v>797</v>
      </c>
      <c r="AU4" s="685" t="s">
        <v>798</v>
      </c>
      <c r="AV4" s="685" t="s">
        <v>799</v>
      </c>
      <c r="AW4" s="685" t="s">
        <v>800</v>
      </c>
      <c r="AX4" s="686" t="s">
        <v>801</v>
      </c>
      <c r="AY4" s="685" t="s">
        <v>802</v>
      </c>
      <c r="AZ4" s="686" t="s">
        <v>260</v>
      </c>
      <c r="BA4" s="686" t="s">
        <v>886</v>
      </c>
      <c r="BB4" s="665" t="s">
        <v>288</v>
      </c>
      <c r="BC4" s="665" t="s">
        <v>289</v>
      </c>
      <c r="BD4" s="665" t="s">
        <v>290</v>
      </c>
      <c r="BE4" s="665" t="s">
        <v>291</v>
      </c>
      <c r="BF4" s="665" t="s">
        <v>292</v>
      </c>
      <c r="BG4" s="665" t="s">
        <v>293</v>
      </c>
      <c r="BH4" s="665" t="s">
        <v>27</v>
      </c>
      <c r="BI4" s="771" t="s">
        <v>873</v>
      </c>
      <c r="BJ4" s="771" t="s">
        <v>889</v>
      </c>
      <c r="BK4" s="771" t="s">
        <v>392</v>
      </c>
      <c r="BL4" s="771" t="s">
        <v>887</v>
      </c>
      <c r="BM4" s="771" t="s">
        <v>292</v>
      </c>
      <c r="BN4" s="771" t="s">
        <v>890</v>
      </c>
      <c r="BO4" s="771" t="s">
        <v>891</v>
      </c>
      <c r="BP4" s="771" t="s">
        <v>892</v>
      </c>
      <c r="BQ4" s="771" t="s">
        <v>894</v>
      </c>
      <c r="BR4" s="771" t="s">
        <v>233</v>
      </c>
      <c r="BS4" s="771" t="s">
        <v>899</v>
      </c>
      <c r="BT4" s="771" t="s">
        <v>900</v>
      </c>
      <c r="BU4" s="781" t="s">
        <v>770</v>
      </c>
      <c r="BV4" s="787" t="s">
        <v>905</v>
      </c>
      <c r="BW4" s="771" t="s">
        <v>906</v>
      </c>
      <c r="BX4" s="771" t="s">
        <v>907</v>
      </c>
      <c r="BY4" s="771" t="s">
        <v>908</v>
      </c>
      <c r="BZ4" s="771" t="s">
        <v>904</v>
      </c>
      <c r="CA4" s="771" t="s">
        <v>911</v>
      </c>
      <c r="CB4" s="771" t="s">
        <v>912</v>
      </c>
      <c r="CC4" s="781"/>
      <c r="CD4" s="771" t="s">
        <v>901</v>
      </c>
      <c r="CE4" s="771" t="s">
        <v>889</v>
      </c>
      <c r="CJ4" s="894" t="s">
        <v>956</v>
      </c>
      <c r="CK4" s="894" t="s">
        <v>957</v>
      </c>
      <c r="CL4" s="894" t="s">
        <v>956</v>
      </c>
      <c r="CM4" s="894" t="s">
        <v>957</v>
      </c>
      <c r="CN4" s="894" t="s">
        <v>956</v>
      </c>
      <c r="CO4" s="894" t="s">
        <v>957</v>
      </c>
      <c r="CP4" s="894" t="s">
        <v>956</v>
      </c>
      <c r="CQ4" s="894" t="s">
        <v>957</v>
      </c>
    </row>
    <row r="5" spans="1:95" x14ac:dyDescent="0.25">
      <c r="A5" s="688">
        <v>9257010</v>
      </c>
      <c r="B5" s="712" t="s">
        <v>746</v>
      </c>
      <c r="C5" s="690">
        <v>156</v>
      </c>
      <c r="D5" s="690">
        <v>10</v>
      </c>
      <c r="E5" s="689">
        <v>57</v>
      </c>
      <c r="F5" s="689">
        <v>3</v>
      </c>
      <c r="G5" s="689">
        <v>44</v>
      </c>
      <c r="H5" s="691">
        <v>7</v>
      </c>
      <c r="I5" s="892">
        <f>19-1</f>
        <v>18</v>
      </c>
      <c r="J5" s="898">
        <f>16+1</f>
        <v>17</v>
      </c>
      <c r="K5" s="697"/>
      <c r="L5" s="679">
        <v>142</v>
      </c>
      <c r="M5" s="679">
        <v>16</v>
      </c>
      <c r="N5" s="679">
        <f>SUM(L5:M5)</f>
        <v>158</v>
      </c>
      <c r="O5" s="889">
        <f>140+2</f>
        <v>142</v>
      </c>
      <c r="P5" s="679">
        <v>16</v>
      </c>
      <c r="Q5" s="679">
        <f>SUM(O5:P5)</f>
        <v>158</v>
      </c>
      <c r="R5" s="679">
        <f>Q5-N5</f>
        <v>0</v>
      </c>
      <c r="S5" s="891">
        <f>(L5*(5/12))+(O5*(7/12))+(M5*(4/12))+(P5*(8/12))</f>
        <v>158</v>
      </c>
      <c r="T5" s="701"/>
      <c r="U5" s="679">
        <v>4</v>
      </c>
      <c r="V5" s="702"/>
      <c r="W5" s="693">
        <f>SUM(D5:E5)</f>
        <v>67</v>
      </c>
      <c r="X5" s="694">
        <f>W5*'2627 Summary'!$B$18</f>
        <v>153837.41596374766</v>
      </c>
      <c r="Y5" s="693">
        <f>SUM(F5:I5)</f>
        <v>72</v>
      </c>
      <c r="Z5" s="694">
        <f>Y5*'2627 Summary'!$B$19</f>
        <v>820991.58538768603</v>
      </c>
      <c r="AA5" s="693">
        <f>SUM(J5)</f>
        <v>17</v>
      </c>
      <c r="AB5" s="695">
        <f>AA5*'2627 Summary'!$B$20</f>
        <v>466766.1868361801</v>
      </c>
      <c r="AC5" s="695">
        <f>X5+Z5+AB5</f>
        <v>1441595.1881876139</v>
      </c>
      <c r="AD5" s="537" t="s">
        <v>379</v>
      </c>
      <c r="AE5" s="537">
        <f>SUMIF(AD5,"Yes",$AE$2)</f>
        <v>0</v>
      </c>
      <c r="AF5" s="543" t="str">
        <f>IF(S5&lt;150,"Yes","No")</f>
        <v>No</v>
      </c>
      <c r="AG5" s="535">
        <f>IF(S5&lt;150,(((150-S5)/(150-100))*$AG$2),(0))</f>
        <v>0</v>
      </c>
      <c r="AH5" s="679">
        <v>80</v>
      </c>
      <c r="AI5" s="704">
        <f>AH5*$AI$2</f>
        <v>40400</v>
      </c>
      <c r="AJ5" s="710">
        <f>(E5*$AJ$2)*('2627 Summary'!$B$19-'2627 Summary'!$B$18)</f>
        <v>25953.753207715101</v>
      </c>
      <c r="AK5" s="716">
        <f>$AJ$2*E5</f>
        <v>2.85</v>
      </c>
      <c r="AL5" s="680" t="s">
        <v>844</v>
      </c>
      <c r="AM5" s="692">
        <f>((5/12)*(N5))+((7/12)*(Q5))</f>
        <v>158</v>
      </c>
      <c r="AO5" s="704">
        <f>AM5*$AO$2</f>
        <v>481584</v>
      </c>
      <c r="AP5" s="704">
        <f>$AP$2*AM5</f>
        <v>104280</v>
      </c>
      <c r="AQ5" s="717">
        <f>VLOOKUP(A5,'2526 3.4% Allocations'!$1:$1048576,12,(FALSE))</f>
        <v>625.31742995271486</v>
      </c>
      <c r="AR5" s="717">
        <f>AQ5*AM5</f>
        <v>98800.153932528949</v>
      </c>
      <c r="AT5" s="763">
        <f>D5/$C$5</f>
        <v>6.4102564102564097E-2</v>
      </c>
      <c r="AU5" s="763">
        <f t="shared" ref="AU5:AZ5" si="0">E5/$C$5</f>
        <v>0.36538461538461536</v>
      </c>
      <c r="AV5" s="763">
        <f t="shared" si="0"/>
        <v>1.9230769230769232E-2</v>
      </c>
      <c r="AW5" s="763">
        <f t="shared" si="0"/>
        <v>0.28205128205128205</v>
      </c>
      <c r="AX5" s="763">
        <f t="shared" si="0"/>
        <v>4.4871794871794872E-2</v>
      </c>
      <c r="AY5" s="763">
        <f t="shared" si="0"/>
        <v>0.11538461538461539</v>
      </c>
      <c r="AZ5" s="763">
        <f t="shared" si="0"/>
        <v>0.10897435897435898</v>
      </c>
      <c r="BA5" s="769">
        <f>S5</f>
        <v>158</v>
      </c>
      <c r="BB5" s="692">
        <f>(SUM(AT5:AU5))*BA5</f>
        <v>67.858974358974351</v>
      </c>
      <c r="BC5" s="717">
        <f>BB5*$BB$3</f>
        <v>200596.61360430851</v>
      </c>
      <c r="BD5" s="692">
        <f>(SUM(AV5:AY5))*BA5</f>
        <v>72.923076923076934</v>
      </c>
      <c r="BE5" s="717">
        <f>BD5*$BD$3</f>
        <v>879646.34930291295</v>
      </c>
      <c r="BF5" s="692">
        <f>AZ5*BA5</f>
        <v>17.217948717948719</v>
      </c>
      <c r="BG5" s="717">
        <f>BF5*$BF$3</f>
        <v>484114.21487254143</v>
      </c>
      <c r="BH5" s="717">
        <f>BC5+BE5+BG5</f>
        <v>1564357.1777797628</v>
      </c>
      <c r="BI5" s="717">
        <f>VLOOKUP(A5,'2526 Band Calculations'!$A$5:$U$22,21,(FALSE))</f>
        <v>1468785.1118621696</v>
      </c>
      <c r="BJ5" s="717">
        <f>BH5-BI5</f>
        <v>95572.065917593194</v>
      </c>
      <c r="BK5" s="692">
        <f>VLOOKUP(A5,'2526 Band Calculations'!$A$6:$U$21,11,(FALSE))</f>
        <v>71.753812636165577</v>
      </c>
      <c r="BL5" s="692">
        <f>VLOOKUP(A5,'2526 Band Calculations'!$A$6:$U$21,13,(FALSE))</f>
        <v>70.72875816993465</v>
      </c>
      <c r="BM5" s="692">
        <f>VLOOKUP(A5,'2526 Band Calculations'!$A$6:$U$21,15,(FALSE))</f>
        <v>14.350762527233115</v>
      </c>
      <c r="BN5" s="692">
        <f>BB5-BK5</f>
        <v>-3.8948382771912264</v>
      </c>
      <c r="BO5" s="692">
        <f>BD5-BL5</f>
        <v>2.1943187531422836</v>
      </c>
      <c r="BP5" s="692">
        <f>BF5-BM5</f>
        <v>2.8671861907156035</v>
      </c>
      <c r="BQ5" s="692">
        <f>SUM(BN5:BP5)</f>
        <v>1.1666666666666607</v>
      </c>
      <c r="BR5" s="717">
        <f>10000*S5</f>
        <v>1580000</v>
      </c>
      <c r="BS5" s="717">
        <f>BR5+BH5+AE5+AG5</f>
        <v>3144357.177779763</v>
      </c>
      <c r="BT5" s="717">
        <f>VLOOKUP(A5,'2627 Funding Detail 2'!$A$4:$AD$19,30,(FALSE))</f>
        <v>2956907.2788426178</v>
      </c>
      <c r="BU5" s="717">
        <f>BS5-BT5</f>
        <v>187449.89893714525</v>
      </c>
      <c r="BV5" s="717">
        <f>BS5/BA5</f>
        <v>19900.99479607445</v>
      </c>
      <c r="BW5" s="717">
        <f>BT5/BA5</f>
        <v>18714.603030649479</v>
      </c>
      <c r="BX5" s="717">
        <f>BV5-BW5</f>
        <v>1186.3917654249708</v>
      </c>
      <c r="BY5" s="539">
        <f>BX5/BW5</f>
        <v>6.3393904935198503E-2</v>
      </c>
      <c r="BZ5" s="708">
        <f>IF(BY5&gt;$BZ$1,(($BZ$1)+((BY5-$BZ$1)*$BZ$2)),(BY5))</f>
        <v>5.6696952467599253E-2</v>
      </c>
      <c r="CA5" s="707">
        <f>-(BX5-(BX5/BY5*BZ5))</f>
        <v>-125.33080694624823</v>
      </c>
      <c r="CB5" s="717">
        <f>CA5*C5</f>
        <v>-19551.605883614724</v>
      </c>
      <c r="CC5" s="717"/>
      <c r="CD5" s="717">
        <f>VLOOKUP(A5,'2526 Funding Comparisons'!$A$4:$AM$15,39,(FALSE))</f>
        <v>152760.77009010655</v>
      </c>
      <c r="CE5" s="717">
        <f>BU5-CD5</f>
        <v>34689.128847038693</v>
      </c>
      <c r="CG5" s="764">
        <f>BV5+(AI5/S5)+$AO$2+$AP$2+AQ5</f>
        <v>24490.008428558813</v>
      </c>
      <c r="CJ5" s="704">
        <f>(N5*5/12)*$AO$2</f>
        <v>200660</v>
      </c>
      <c r="CK5" s="704">
        <f>(Q5*7/12)*$AO$2</f>
        <v>280924</v>
      </c>
      <c r="CL5" s="704">
        <f>(N5*5/12)*$AP$2</f>
        <v>43450</v>
      </c>
      <c r="CM5" s="704">
        <f>(Q5*7/12)*$AP$2</f>
        <v>60830</v>
      </c>
      <c r="CN5" s="704">
        <f>(N5*5/12)*AQ5</f>
        <v>41166.730805220395</v>
      </c>
      <c r="CO5" s="704">
        <f>(Q5*7/12)*AQ5</f>
        <v>57633.423127308553</v>
      </c>
      <c r="CP5" s="893">
        <f>CJ5+CL5+CN5</f>
        <v>285276.73080522037</v>
      </c>
      <c r="CQ5" s="893">
        <f>CK5+CM5+CO5</f>
        <v>399387.42312730855</v>
      </c>
    </row>
    <row r="6" spans="1:95" x14ac:dyDescent="0.25">
      <c r="A6" s="688">
        <v>9257005</v>
      </c>
      <c r="B6" s="712" t="s">
        <v>819</v>
      </c>
      <c r="C6" s="690">
        <v>226</v>
      </c>
      <c r="D6" s="690">
        <v>19</v>
      </c>
      <c r="E6" s="689">
        <v>104</v>
      </c>
      <c r="F6" s="689">
        <v>20</v>
      </c>
      <c r="G6" s="689">
        <v>31</v>
      </c>
      <c r="H6" s="691">
        <v>10</v>
      </c>
      <c r="I6" s="689">
        <v>30</v>
      </c>
      <c r="J6" s="691">
        <v>12</v>
      </c>
      <c r="K6" s="697"/>
      <c r="L6" s="679">
        <v>238</v>
      </c>
      <c r="M6" s="679">
        <v>22</v>
      </c>
      <c r="N6" s="679">
        <f t="shared" ref="N6:N16" si="1">SUM(L6:M6)</f>
        <v>260</v>
      </c>
      <c r="O6" s="679">
        <v>236</v>
      </c>
      <c r="P6" s="679">
        <v>24</v>
      </c>
      <c r="Q6" s="679">
        <f t="shared" ref="Q6:Q16" si="2">SUM(O6:P6)</f>
        <v>260</v>
      </c>
      <c r="R6" s="679">
        <f t="shared" ref="R6:R16" si="3">Q6-N6</f>
        <v>0</v>
      </c>
      <c r="S6" s="891">
        <f t="shared" ref="S6:S20" si="4">(L6*(5/12))+(O6*(7/12))+(M6*(4/12))+(P6*(8/12))</f>
        <v>260.16666666666674</v>
      </c>
      <c r="T6" s="701"/>
      <c r="U6" s="679">
        <v>32</v>
      </c>
      <c r="V6" s="702"/>
      <c r="W6" s="693">
        <f>SUM(D6:E6)</f>
        <v>123</v>
      </c>
      <c r="X6" s="694">
        <f>W6*'2627 Summary'!$B$18</f>
        <v>282417.94273941737</v>
      </c>
      <c r="Y6" s="693">
        <f>SUM(F6:I6)</f>
        <v>91</v>
      </c>
      <c r="Z6" s="694">
        <f>Y6*'2627 Summary'!$B$19</f>
        <v>1037642.1426427698</v>
      </c>
      <c r="AA6" s="693">
        <f t="shared" ref="AA6:AA16" si="5">SUM(J6)</f>
        <v>12</v>
      </c>
      <c r="AB6" s="695">
        <f>AA6*'2627 Summary'!$B$20</f>
        <v>329482.01423730364</v>
      </c>
      <c r="AC6" s="695">
        <f>X6+Z6+AB6</f>
        <v>1649542.099619491</v>
      </c>
      <c r="AD6" s="537" t="s">
        <v>380</v>
      </c>
      <c r="AE6" s="537">
        <f t="shared" ref="AE6:AE20" si="6">SUMIF(AD6,"Yes",$AE$2)</f>
        <v>82700</v>
      </c>
      <c r="AF6" s="543" t="str">
        <f t="shared" ref="AF6:AF16" si="7">IF(S6&lt;150,"Yes","No")</f>
        <v>No</v>
      </c>
      <c r="AG6" s="535">
        <f t="shared" ref="AG6:AG16" si="8">IF(S6&lt;150,(((150-S6)/(150-100))*$AG$2),(0))</f>
        <v>0</v>
      </c>
      <c r="AH6" s="679">
        <v>130</v>
      </c>
      <c r="AI6" s="704">
        <f t="shared" ref="AI6:AI20" si="9">AH6*$AI$2</f>
        <v>65650</v>
      </c>
      <c r="AJ6" s="710">
        <f>(E6*$AJ$2)*('2627 Summary'!$B$19-'2627 Summary'!$B$18)</f>
        <v>47354.216378988953</v>
      </c>
      <c r="AK6" s="716">
        <f t="shared" ref="AK6:AK20" si="10">$AJ$2*E6</f>
        <v>5.2</v>
      </c>
      <c r="AL6" s="680" t="s">
        <v>844</v>
      </c>
      <c r="AM6" s="692">
        <f t="shared" ref="AM6:AM20" si="11">((5/12)*(N6))+((7/12)*(Q6))</f>
        <v>260</v>
      </c>
      <c r="AO6" s="704">
        <f t="shared" ref="AO6:AO20" si="12">AM6*$AO$2</f>
        <v>792480</v>
      </c>
      <c r="AP6" s="704">
        <f t="shared" ref="AP6:AP20" si="13">$AP$2*AM6</f>
        <v>171600</v>
      </c>
      <c r="AQ6" s="717">
        <f>VLOOKUP(A6,'2526 3.4% Allocations'!$1:$1048576,12,(FALSE))</f>
        <v>527.58700335344292</v>
      </c>
      <c r="AR6" s="717">
        <f t="shared" ref="AR6:AR20" si="14">AQ6*AM6</f>
        <v>137172.62087189517</v>
      </c>
      <c r="AT6" s="763">
        <f>D6/$C$6</f>
        <v>8.4070796460176997E-2</v>
      </c>
      <c r="AU6" s="763">
        <f t="shared" ref="AU6:AZ6" si="15">E6/$C$6</f>
        <v>0.46017699115044247</v>
      </c>
      <c r="AV6" s="763">
        <f t="shared" si="15"/>
        <v>8.8495575221238937E-2</v>
      </c>
      <c r="AW6" s="763">
        <f t="shared" si="15"/>
        <v>0.13716814159292035</v>
      </c>
      <c r="AX6" s="763">
        <f t="shared" si="15"/>
        <v>4.4247787610619468E-2</v>
      </c>
      <c r="AY6" s="763">
        <f t="shared" si="15"/>
        <v>0.13274336283185842</v>
      </c>
      <c r="AZ6" s="763">
        <f t="shared" si="15"/>
        <v>5.3097345132743362E-2</v>
      </c>
      <c r="BA6" s="769">
        <f t="shared" ref="BA6:BA20" si="16">S6</f>
        <v>260.16666666666674</v>
      </c>
      <c r="BB6" s="692">
        <f t="shared" ref="BB6:BB20" si="17">(SUM(AT6:AU6))*BA6</f>
        <v>141.59513274336285</v>
      </c>
      <c r="BC6" s="717">
        <f t="shared" ref="BC6:BC16" si="18">BB6*$BB$3</f>
        <v>418566.65827155649</v>
      </c>
      <c r="BD6" s="692">
        <f t="shared" ref="BD6:BD20" si="19">(SUM(AV6:AY6))*BA6</f>
        <v>104.75737463126846</v>
      </c>
      <c r="BE6" s="717">
        <f t="shared" ref="BE6:BE16" si="20">BD6*$BD$3</f>
        <v>1263652.6878063157</v>
      </c>
      <c r="BF6" s="692">
        <f t="shared" ref="BF6:BF20" si="21">AZ6*BA6</f>
        <v>13.814159292035402</v>
      </c>
      <c r="BG6" s="717">
        <f t="shared" ref="BG6:BG16" si="22">BF6*$BF$3</f>
        <v>388410.43084397574</v>
      </c>
      <c r="BH6" s="717">
        <f t="shared" ref="BH6:BH20" si="23">BC6+BE6+BG6</f>
        <v>2070629.7769218478</v>
      </c>
      <c r="BI6" s="717">
        <f>VLOOKUP(A6,'2526 Band Calculations'!$A$5:$U$22,21,(FALSE))</f>
        <v>2112005.9683213923</v>
      </c>
      <c r="BJ6" s="717">
        <f t="shared" ref="BJ6:BJ20" si="24">BH6-BI6</f>
        <v>-41376.191399544477</v>
      </c>
      <c r="BK6" s="692">
        <f>VLOOKUP(A6,'2526 Band Calculations'!$A$6:$U$21,11,(FALSE))</f>
        <v>139.48290598290598</v>
      </c>
      <c r="BL6" s="692">
        <f>VLOOKUP(A6,'2526 Band Calculations'!$A$6:$U$21,13,(FALSE))</f>
        <v>99.944444444444443</v>
      </c>
      <c r="BM6" s="692">
        <f>VLOOKUP(A6,'2526 Band Calculations'!$A$6:$U$21,15,(FALSE))</f>
        <v>17.572649572649574</v>
      </c>
      <c r="BN6" s="692">
        <f t="shared" ref="BN6:BN20" si="25">BB6-BK6</f>
        <v>2.1122267604568776</v>
      </c>
      <c r="BO6" s="692">
        <f t="shared" ref="BO6:BO20" si="26">BD6-BL6</f>
        <v>4.8129301868240191</v>
      </c>
      <c r="BP6" s="692">
        <f t="shared" ref="BP6:BP20" si="27">BF6-BM6</f>
        <v>-3.758490280614172</v>
      </c>
      <c r="BQ6" s="692">
        <f t="shared" ref="BQ6:BQ20" si="28">SUM(BN6:BP6)</f>
        <v>3.1666666666667247</v>
      </c>
      <c r="BR6" s="717">
        <f t="shared" ref="BR6:BR20" si="29">10000*S6</f>
        <v>2601666.6666666674</v>
      </c>
      <c r="BS6" s="717">
        <f t="shared" ref="BS6:BS20" si="30">BR6+BH6+AE6+AG6</f>
        <v>4754996.4435885157</v>
      </c>
      <c r="BT6" s="717">
        <f>VLOOKUP(A6,'2627 Funding Detail 2'!$A$4:$AD$19,30,(FALSE))</f>
        <v>4533065.4402654869</v>
      </c>
      <c r="BU6" s="717">
        <f t="shared" ref="BU6:BU20" si="31">BS6-BT6</f>
        <v>221931.0033230288</v>
      </c>
      <c r="BV6" s="717">
        <f t="shared" ref="BV6:BV20" si="32">BS6/BA6</f>
        <v>18276.732006105758</v>
      </c>
      <c r="BW6" s="717">
        <f t="shared" ref="BW6:BW20" si="33">BT6/BA6</f>
        <v>17423.698040738574</v>
      </c>
      <c r="BX6" s="717">
        <f t="shared" ref="BX6:BX20" si="34">BV6-BW6</f>
        <v>853.03396536718355</v>
      </c>
      <c r="BY6" s="763">
        <f t="shared" ref="BY6:BY20" si="35">BX6/BW6</f>
        <v>4.8958261522478966E-2</v>
      </c>
      <c r="BZ6" s="708">
        <f t="shared" ref="BZ6:BZ20" si="36">IF(BY6&gt;$BZ$1,(($BZ$1)+((BY6-$BZ$1)*$BZ$2)),(BY6))</f>
        <v>4.8958261522478966E-2</v>
      </c>
      <c r="CA6" s="707">
        <f t="shared" ref="CA6:CA20" si="37">-(BX6-(BX6/BY6*BZ6))</f>
        <v>-1.1368683772161603E-13</v>
      </c>
      <c r="CB6" s="717">
        <f t="shared" ref="CB6:CB20" si="38">CA6*C6</f>
        <v>-2.5693225325085223E-11</v>
      </c>
      <c r="CC6" s="717"/>
      <c r="CD6" s="717">
        <f>VLOOKUP(A6,'2526 Funding Comparisons'!$A$4:$AM$15,39,(FALSE))</f>
        <v>231765.26319318227</v>
      </c>
      <c r="CE6" s="717">
        <f t="shared" ref="CE6:CE20" si="39">BU6-CD6</f>
        <v>-9834.2598701534735</v>
      </c>
      <c r="CG6" s="764">
        <f t="shared" ref="CG6:CG20" si="40">BV6+(AI6/S6)+$AO$2+$AP$2+AQ6</f>
        <v>22764.657254174126</v>
      </c>
      <c r="CJ6" s="704">
        <f t="shared" ref="CJ6:CJ20" si="41">(N6*5/12)*$AO$2</f>
        <v>330200</v>
      </c>
      <c r="CK6" s="704">
        <f t="shared" ref="CK6:CK20" si="42">(Q6*7/12)*$AO$2</f>
        <v>462280</v>
      </c>
      <c r="CL6" s="704">
        <f t="shared" ref="CL6:CL20" si="43">(N6*5/12)*$AP$2</f>
        <v>71500</v>
      </c>
      <c r="CM6" s="704">
        <f t="shared" ref="CM6:CM20" si="44">(Q6*7/12)*$AP$2</f>
        <v>100100</v>
      </c>
      <c r="CN6" s="704">
        <f t="shared" ref="CN6:CN20" si="45">(N6*5/12)*AQ6</f>
        <v>57155.258696622979</v>
      </c>
      <c r="CO6" s="704">
        <f t="shared" ref="CO6:CO20" si="46">(Q6*7/12)*AQ6</f>
        <v>80017.362175272166</v>
      </c>
      <c r="CP6" s="893">
        <f t="shared" ref="CP6:CP20" si="47">CJ6+CL6+CN6</f>
        <v>458855.25869662297</v>
      </c>
      <c r="CQ6" s="893">
        <f t="shared" ref="CQ6:CQ20" si="48">CK6+CM6+CO6</f>
        <v>642397.3621752722</v>
      </c>
    </row>
    <row r="7" spans="1:95" x14ac:dyDescent="0.25">
      <c r="A7" s="688">
        <v>9257025</v>
      </c>
      <c r="B7" s="712" t="s">
        <v>815</v>
      </c>
      <c r="C7" s="690">
        <v>109</v>
      </c>
      <c r="D7" s="690">
        <v>5</v>
      </c>
      <c r="E7" s="689">
        <v>58</v>
      </c>
      <c r="F7" s="689">
        <v>3</v>
      </c>
      <c r="G7" s="689">
        <v>30</v>
      </c>
      <c r="H7" s="691">
        <v>3</v>
      </c>
      <c r="I7" s="689">
        <v>5</v>
      </c>
      <c r="J7" s="691">
        <v>5</v>
      </c>
      <c r="K7" s="697"/>
      <c r="L7" s="679">
        <v>88</v>
      </c>
      <c r="M7" s="679">
        <v>22</v>
      </c>
      <c r="N7" s="679">
        <f t="shared" si="1"/>
        <v>110</v>
      </c>
      <c r="O7" s="679">
        <v>90</v>
      </c>
      <c r="P7" s="679">
        <v>25</v>
      </c>
      <c r="Q7" s="679">
        <f t="shared" si="2"/>
        <v>115</v>
      </c>
      <c r="R7" s="679">
        <f t="shared" si="3"/>
        <v>5</v>
      </c>
      <c r="S7" s="891">
        <f t="shared" si="4"/>
        <v>113.16666666666666</v>
      </c>
      <c r="T7" s="701"/>
      <c r="U7" s="679">
        <v>5</v>
      </c>
      <c r="V7" s="702"/>
      <c r="W7" s="693">
        <f t="shared" ref="W7:W16" si="49">SUM(D7:E7)</f>
        <v>63</v>
      </c>
      <c r="X7" s="694">
        <f>W7*'2627 Summary'!$B$18</f>
        <v>144653.09262262841</v>
      </c>
      <c r="Y7" s="693">
        <f t="shared" ref="Y7:Y16" si="50">SUM(F7:I7)</f>
        <v>41</v>
      </c>
      <c r="Z7" s="694">
        <f>Y7*'2627 Summary'!$B$19</f>
        <v>467509.09723465459</v>
      </c>
      <c r="AA7" s="693">
        <f t="shared" si="5"/>
        <v>5</v>
      </c>
      <c r="AB7" s="695">
        <f>AA7*'2627 Summary'!$B$20</f>
        <v>137284.1725988765</v>
      </c>
      <c r="AC7" s="695">
        <f t="shared" ref="AC7:AC16" si="51">X7+Z7+AB7</f>
        <v>749446.36245615955</v>
      </c>
      <c r="AD7" s="537" t="s">
        <v>379</v>
      </c>
      <c r="AE7" s="537">
        <f t="shared" si="6"/>
        <v>0</v>
      </c>
      <c r="AF7" s="543" t="str">
        <f t="shared" si="7"/>
        <v>Yes</v>
      </c>
      <c r="AG7" s="535">
        <f t="shared" si="8"/>
        <v>60922.333333333343</v>
      </c>
      <c r="AH7" s="679">
        <v>81</v>
      </c>
      <c r="AI7" s="704">
        <f t="shared" si="9"/>
        <v>40905</v>
      </c>
      <c r="AJ7" s="710">
        <f>(E7*$AJ$2)*('2627 Summary'!$B$19-'2627 Summary'!$B$18)</f>
        <v>26409.082211359226</v>
      </c>
      <c r="AK7" s="716">
        <f t="shared" si="10"/>
        <v>2.9000000000000004</v>
      </c>
      <c r="AL7" s="680" t="s">
        <v>844</v>
      </c>
      <c r="AM7" s="692">
        <f t="shared" si="11"/>
        <v>112.91666666666669</v>
      </c>
      <c r="AO7" s="704">
        <f t="shared" si="12"/>
        <v>344170.00000000006</v>
      </c>
      <c r="AP7" s="704">
        <f t="shared" si="13"/>
        <v>74525.000000000015</v>
      </c>
      <c r="AQ7" s="717">
        <f>VLOOKUP(A7,'2526 3.4% Allocations'!$1:$1048576,12,(FALSE))</f>
        <v>605.76375394065985</v>
      </c>
      <c r="AR7" s="717">
        <f t="shared" si="14"/>
        <v>68400.823882466182</v>
      </c>
      <c r="AT7" s="763">
        <f>D7/$C$7</f>
        <v>4.5871559633027525E-2</v>
      </c>
      <c r="AU7" s="763">
        <f t="shared" ref="AU7:AZ7" si="52">E7/$C$7</f>
        <v>0.5321100917431193</v>
      </c>
      <c r="AV7" s="763">
        <f t="shared" si="52"/>
        <v>2.7522935779816515E-2</v>
      </c>
      <c r="AW7" s="763">
        <f t="shared" si="52"/>
        <v>0.27522935779816515</v>
      </c>
      <c r="AX7" s="763">
        <f t="shared" si="52"/>
        <v>2.7522935779816515E-2</v>
      </c>
      <c r="AY7" s="763">
        <f t="shared" si="52"/>
        <v>4.5871559633027525E-2</v>
      </c>
      <c r="AZ7" s="763">
        <f t="shared" si="52"/>
        <v>4.5871559633027525E-2</v>
      </c>
      <c r="BA7" s="769">
        <f t="shared" si="16"/>
        <v>113.16666666666666</v>
      </c>
      <c r="BB7" s="692">
        <f t="shared" si="17"/>
        <v>65.408256880733944</v>
      </c>
      <c r="BC7" s="717">
        <f t="shared" si="18"/>
        <v>193352.09463419675</v>
      </c>
      <c r="BD7" s="692">
        <f t="shared" si="19"/>
        <v>42.567278287461775</v>
      </c>
      <c r="BE7" s="717">
        <f t="shared" si="20"/>
        <v>513474.6437650313</v>
      </c>
      <c r="BF7" s="692">
        <f t="shared" si="21"/>
        <v>5.1911314984709476</v>
      </c>
      <c r="BG7" s="717">
        <f t="shared" si="22"/>
        <v>145958.18531290081</v>
      </c>
      <c r="BH7" s="717">
        <f t="shared" si="23"/>
        <v>852784.92371212889</v>
      </c>
      <c r="BI7" s="717">
        <f>VLOOKUP(A7,'2526 Band Calculations'!$A$5:$U$22,21,(FALSE))</f>
        <v>848112.61240623263</v>
      </c>
      <c r="BJ7" s="717">
        <f t="shared" si="24"/>
        <v>4672.3113058962626</v>
      </c>
      <c r="BK7" s="692">
        <f>VLOOKUP(A7,'2526 Band Calculations'!$A$6:$U$21,11,(FALSE))</f>
        <v>61.80952380952381</v>
      </c>
      <c r="BL7" s="692">
        <f>VLOOKUP(A7,'2526 Band Calculations'!$A$6:$U$21,13,(FALSE))</f>
        <v>42.952380952380949</v>
      </c>
      <c r="BM7" s="692">
        <f>VLOOKUP(A7,'2526 Band Calculations'!$A$6:$U$21,15,(FALSE))</f>
        <v>5.2380952380952381</v>
      </c>
      <c r="BN7" s="692">
        <f t="shared" si="25"/>
        <v>3.598733071210134</v>
      </c>
      <c r="BO7" s="692">
        <f t="shared" si="26"/>
        <v>-0.38510266491917378</v>
      </c>
      <c r="BP7" s="692">
        <f t="shared" si="27"/>
        <v>-4.6963739624290568E-2</v>
      </c>
      <c r="BQ7" s="692">
        <f t="shared" si="28"/>
        <v>3.1666666666666696</v>
      </c>
      <c r="BR7" s="717">
        <f t="shared" si="29"/>
        <v>1131666.6666666665</v>
      </c>
      <c r="BS7" s="717">
        <f t="shared" si="30"/>
        <v>2045373.9237121285</v>
      </c>
      <c r="BT7" s="717">
        <f>VLOOKUP(A7,'2627 Funding Detail 2'!$A$4:$AD$19,30,(FALSE))</f>
        <v>2011332.0298048959</v>
      </c>
      <c r="BU7" s="717">
        <f t="shared" si="31"/>
        <v>34041.893907232676</v>
      </c>
      <c r="BV7" s="717">
        <f t="shared" si="32"/>
        <v>18073.996380372271</v>
      </c>
      <c r="BW7" s="717">
        <f t="shared" si="33"/>
        <v>17773.184357627946</v>
      </c>
      <c r="BX7" s="717">
        <f t="shared" si="34"/>
        <v>300.81202274432508</v>
      </c>
      <c r="BY7" s="763">
        <f t="shared" si="35"/>
        <v>1.6925049371651946E-2</v>
      </c>
      <c r="BZ7" s="708">
        <f t="shared" si="36"/>
        <v>1.6925049371651946E-2</v>
      </c>
      <c r="CA7" s="707">
        <f t="shared" si="37"/>
        <v>0</v>
      </c>
      <c r="CB7" s="717">
        <f t="shared" si="38"/>
        <v>0</v>
      </c>
      <c r="CC7" s="717"/>
      <c r="CD7" s="717">
        <f>VLOOKUP(A7,'2526 Funding Comparisons'!$A$4:$AM$15,39,(FALSE))</f>
        <v>23065.937106220765</v>
      </c>
      <c r="CE7" s="717">
        <f t="shared" si="39"/>
        <v>10975.956801011911</v>
      </c>
      <c r="CG7" s="764">
        <f t="shared" si="40"/>
        <v>22749.218160822504</v>
      </c>
      <c r="CJ7" s="704">
        <f t="shared" si="41"/>
        <v>139700</v>
      </c>
      <c r="CK7" s="704">
        <f t="shared" si="42"/>
        <v>204470</v>
      </c>
      <c r="CL7" s="704">
        <f t="shared" si="43"/>
        <v>30250</v>
      </c>
      <c r="CM7" s="704">
        <f t="shared" si="44"/>
        <v>44275</v>
      </c>
      <c r="CN7" s="704">
        <f t="shared" si="45"/>
        <v>27764.172055613577</v>
      </c>
      <c r="CO7" s="704">
        <f t="shared" si="46"/>
        <v>40636.651826852598</v>
      </c>
      <c r="CP7" s="893">
        <f t="shared" si="47"/>
        <v>197714.17205561357</v>
      </c>
      <c r="CQ7" s="893">
        <f t="shared" si="48"/>
        <v>289381.65182685258</v>
      </c>
    </row>
    <row r="8" spans="1:95" x14ac:dyDescent="0.25">
      <c r="A8" s="688">
        <v>9257024</v>
      </c>
      <c r="B8" s="712" t="s">
        <v>816</v>
      </c>
      <c r="C8" s="690">
        <v>110</v>
      </c>
      <c r="D8" s="689">
        <v>11</v>
      </c>
      <c r="E8" s="689">
        <v>66</v>
      </c>
      <c r="F8" s="689">
        <v>2</v>
      </c>
      <c r="G8" s="689">
        <v>19</v>
      </c>
      <c r="H8" s="691">
        <v>5</v>
      </c>
      <c r="I8" s="689">
        <v>2</v>
      </c>
      <c r="J8" s="691">
        <v>5</v>
      </c>
      <c r="K8" s="697"/>
      <c r="L8" s="679">
        <v>97</v>
      </c>
      <c r="M8" s="679">
        <v>18</v>
      </c>
      <c r="N8" s="679">
        <f t="shared" si="1"/>
        <v>115</v>
      </c>
      <c r="O8" s="679">
        <v>104</v>
      </c>
      <c r="P8" s="679">
        <v>12</v>
      </c>
      <c r="Q8" s="679">
        <f t="shared" si="2"/>
        <v>116</v>
      </c>
      <c r="R8" s="679">
        <f t="shared" si="3"/>
        <v>1</v>
      </c>
      <c r="S8" s="891">
        <f t="shared" si="4"/>
        <v>115.08333333333334</v>
      </c>
      <c r="T8" s="701"/>
      <c r="U8" s="679">
        <v>1</v>
      </c>
      <c r="V8" s="702"/>
      <c r="W8" s="693">
        <f t="shared" si="49"/>
        <v>77</v>
      </c>
      <c r="X8" s="694">
        <f>W8*'2627 Summary'!$B$18</f>
        <v>176798.22431654582</v>
      </c>
      <c r="Y8" s="693">
        <f t="shared" si="50"/>
        <v>28</v>
      </c>
      <c r="Z8" s="694">
        <f>Y8*'2627 Summary'!$B$19</f>
        <v>319274.50542854459</v>
      </c>
      <c r="AA8" s="693">
        <f t="shared" si="5"/>
        <v>5</v>
      </c>
      <c r="AB8" s="695">
        <f>AA8*'2627 Summary'!$B$20</f>
        <v>137284.1725988765</v>
      </c>
      <c r="AC8" s="695">
        <f t="shared" si="51"/>
        <v>633356.90234396688</v>
      </c>
      <c r="AD8" s="537" t="s">
        <v>379</v>
      </c>
      <c r="AE8" s="537">
        <f t="shared" si="6"/>
        <v>0</v>
      </c>
      <c r="AF8" s="543" t="str">
        <f t="shared" si="7"/>
        <v>Yes</v>
      </c>
      <c r="AG8" s="535">
        <f t="shared" si="8"/>
        <v>57752.16666666665</v>
      </c>
      <c r="AH8" s="679">
        <v>67</v>
      </c>
      <c r="AI8" s="704">
        <f t="shared" si="9"/>
        <v>33835</v>
      </c>
      <c r="AJ8" s="710">
        <f>(E8*$AJ$2)*('2627 Summary'!$B$19-'2627 Summary'!$B$18)</f>
        <v>30051.714240512221</v>
      </c>
      <c r="AK8" s="716">
        <f t="shared" si="10"/>
        <v>3.3000000000000003</v>
      </c>
      <c r="AL8" s="680" t="s">
        <v>844</v>
      </c>
      <c r="AM8" s="692">
        <f t="shared" si="11"/>
        <v>115.58333333333334</v>
      </c>
      <c r="AO8" s="704">
        <f t="shared" si="12"/>
        <v>352298</v>
      </c>
      <c r="AP8" s="704">
        <f t="shared" si="13"/>
        <v>76285</v>
      </c>
      <c r="AQ8" s="717">
        <f>VLOOKUP(A8,'2526 3.4% Allocations'!$1:$1048576,12,(FALSE))</f>
        <v>611.74148439915916</v>
      </c>
      <c r="AR8" s="717">
        <f t="shared" si="14"/>
        <v>70707.119905136147</v>
      </c>
      <c r="AT8" s="763">
        <f>D8/$C$8</f>
        <v>0.1</v>
      </c>
      <c r="AU8" s="763">
        <f t="shared" ref="AU8:AZ8" si="53">E8/$C$8</f>
        <v>0.6</v>
      </c>
      <c r="AV8" s="763">
        <f t="shared" si="53"/>
        <v>1.8181818181818181E-2</v>
      </c>
      <c r="AW8" s="763">
        <f t="shared" si="53"/>
        <v>0.17272727272727273</v>
      </c>
      <c r="AX8" s="763">
        <f t="shared" si="53"/>
        <v>4.5454545454545456E-2</v>
      </c>
      <c r="AY8" s="763">
        <f t="shared" si="53"/>
        <v>1.8181818181818181E-2</v>
      </c>
      <c r="AZ8" s="763">
        <f t="shared" si="53"/>
        <v>4.5454545454545456E-2</v>
      </c>
      <c r="BA8" s="769">
        <f t="shared" si="16"/>
        <v>115.08333333333334</v>
      </c>
      <c r="BB8" s="692">
        <f t="shared" si="17"/>
        <v>80.558333333333337</v>
      </c>
      <c r="BC8" s="717">
        <f t="shared" si="18"/>
        <v>238136.94528874985</v>
      </c>
      <c r="BD8" s="692">
        <f t="shared" si="19"/>
        <v>29.2939393939394</v>
      </c>
      <c r="BE8" s="717">
        <f t="shared" si="20"/>
        <v>353362.85757334862</v>
      </c>
      <c r="BF8" s="692">
        <f t="shared" si="21"/>
        <v>5.2310606060606064</v>
      </c>
      <c r="BG8" s="717">
        <f t="shared" si="22"/>
        <v>147080.86542352155</v>
      </c>
      <c r="BH8" s="717">
        <f t="shared" si="23"/>
        <v>738580.66828561993</v>
      </c>
      <c r="BI8" s="717">
        <f>VLOOKUP(A8,'2526 Band Calculations'!$A$5:$U$22,21,(FALSE))</f>
        <v>719901.90621662955</v>
      </c>
      <c r="BJ8" s="717">
        <f t="shared" si="24"/>
        <v>18678.762068990385</v>
      </c>
      <c r="BK8" s="692">
        <f>VLOOKUP(A8,'2526 Band Calculations'!$A$6:$U$21,11,(FALSE))</f>
        <v>76.506600660066013</v>
      </c>
      <c r="BL8" s="692">
        <f>VLOOKUP(A8,'2526 Band Calculations'!$A$6:$U$21,13,(FALSE))</f>
        <v>25.861386138613867</v>
      </c>
      <c r="BM8" s="692">
        <f>VLOOKUP(A8,'2526 Band Calculations'!$A$6:$U$21,15,(FALSE))</f>
        <v>6.4653465346534658</v>
      </c>
      <c r="BN8" s="692">
        <f t="shared" si="25"/>
        <v>4.051732673267324</v>
      </c>
      <c r="BO8" s="692">
        <f t="shared" si="26"/>
        <v>3.4325532553255336</v>
      </c>
      <c r="BP8" s="692">
        <f t="shared" si="27"/>
        <v>-1.2342859285928593</v>
      </c>
      <c r="BQ8" s="692">
        <f t="shared" si="28"/>
        <v>6.2499999999999982</v>
      </c>
      <c r="BR8" s="717">
        <f t="shared" si="29"/>
        <v>1150833.3333333335</v>
      </c>
      <c r="BS8" s="717">
        <f t="shared" si="30"/>
        <v>1947166.1682856202</v>
      </c>
      <c r="BT8" s="717">
        <f>VLOOKUP(A8,'2627 Funding Detail 2'!$A$4:$AD$19,30,(FALSE))</f>
        <v>1854217.7396854316</v>
      </c>
      <c r="BU8" s="717">
        <f t="shared" si="31"/>
        <v>92948.428600188578</v>
      </c>
      <c r="BV8" s="717">
        <f t="shared" si="32"/>
        <v>16919.619130649848</v>
      </c>
      <c r="BW8" s="717">
        <f t="shared" si="33"/>
        <v>16111.957187708311</v>
      </c>
      <c r="BX8" s="717">
        <f t="shared" si="34"/>
        <v>807.66194294153684</v>
      </c>
      <c r="BY8" s="763">
        <f t="shared" si="35"/>
        <v>5.0128108803423083E-2</v>
      </c>
      <c r="BZ8" s="708">
        <f>IF(BY8&gt;$BZ$1,(($BZ$1)+((BY8-$BZ$1)*$BZ$2)),(BY8))</f>
        <v>5.0064054401711543E-2</v>
      </c>
      <c r="CA8" s="707">
        <f t="shared" si="37"/>
        <v>-1.0320417780606022</v>
      </c>
      <c r="CB8" s="717">
        <f t="shared" si="38"/>
        <v>-113.52459558666624</v>
      </c>
      <c r="CC8" s="717"/>
      <c r="CD8" s="717">
        <f>VLOOKUP(A8,'2526 Funding Comparisons'!$A$4:$AM$15,39,(FALSE))</f>
        <v>79361.040361081512</v>
      </c>
      <c r="CE8" s="717">
        <f t="shared" si="39"/>
        <v>13587.388239107066</v>
      </c>
      <c r="CG8" s="764">
        <f t="shared" si="40"/>
        <v>21533.364959726779</v>
      </c>
      <c r="CJ8" s="704">
        <f t="shared" si="41"/>
        <v>146050</v>
      </c>
      <c r="CK8" s="704">
        <f t="shared" si="42"/>
        <v>206248</v>
      </c>
      <c r="CL8" s="704">
        <f t="shared" si="43"/>
        <v>31625</v>
      </c>
      <c r="CM8" s="704">
        <f t="shared" si="44"/>
        <v>44660</v>
      </c>
      <c r="CN8" s="704">
        <f t="shared" si="45"/>
        <v>29312.612794126377</v>
      </c>
      <c r="CO8" s="704">
        <f t="shared" si="46"/>
        <v>41394.507111009771</v>
      </c>
      <c r="CP8" s="893">
        <f t="shared" si="47"/>
        <v>206987.61279412638</v>
      </c>
      <c r="CQ8" s="893">
        <f t="shared" si="48"/>
        <v>292302.50711100979</v>
      </c>
    </row>
    <row r="9" spans="1:95" x14ac:dyDescent="0.25">
      <c r="A9" s="688">
        <v>9257033</v>
      </c>
      <c r="B9" s="712" t="s">
        <v>814</v>
      </c>
      <c r="C9" s="690">
        <v>129</v>
      </c>
      <c r="D9" s="689">
        <v>1</v>
      </c>
      <c r="E9" s="689">
        <v>74</v>
      </c>
      <c r="F9" s="689">
        <v>2</v>
      </c>
      <c r="G9" s="689">
        <v>37</v>
      </c>
      <c r="H9" s="691">
        <v>0</v>
      </c>
      <c r="I9" s="689">
        <v>8</v>
      </c>
      <c r="J9" s="691">
        <v>7</v>
      </c>
      <c r="K9" s="697"/>
      <c r="L9" s="679">
        <v>127</v>
      </c>
      <c r="M9" s="679">
        <v>0</v>
      </c>
      <c r="N9" s="679">
        <f t="shared" si="1"/>
        <v>127</v>
      </c>
      <c r="O9" s="679">
        <v>127</v>
      </c>
      <c r="P9" s="679">
        <v>0</v>
      </c>
      <c r="Q9" s="679">
        <f t="shared" si="2"/>
        <v>127</v>
      </c>
      <c r="R9" s="679">
        <f t="shared" si="3"/>
        <v>0</v>
      </c>
      <c r="S9" s="891">
        <f t="shared" si="4"/>
        <v>127.00000000000001</v>
      </c>
      <c r="T9" s="701"/>
      <c r="U9" s="679">
        <v>1</v>
      </c>
      <c r="V9" s="702"/>
      <c r="W9" s="693">
        <f t="shared" si="49"/>
        <v>75</v>
      </c>
      <c r="X9" s="694">
        <f>W9*'2627 Summary'!$B$18</f>
        <v>172206.06264598618</v>
      </c>
      <c r="Y9" s="693">
        <f t="shared" si="50"/>
        <v>47</v>
      </c>
      <c r="Z9" s="694">
        <f>Y9*'2627 Summary'!$B$19</f>
        <v>535925.06268362841</v>
      </c>
      <c r="AA9" s="693">
        <f t="shared" si="5"/>
        <v>7</v>
      </c>
      <c r="AB9" s="695">
        <f>AA9*'2627 Summary'!$B$20</f>
        <v>192197.84163842711</v>
      </c>
      <c r="AC9" s="695">
        <f t="shared" si="51"/>
        <v>900328.96696804173</v>
      </c>
      <c r="AD9" s="537" t="s">
        <v>379</v>
      </c>
      <c r="AE9" s="537">
        <f t="shared" si="6"/>
        <v>0</v>
      </c>
      <c r="AF9" s="543" t="str">
        <f t="shared" si="7"/>
        <v>Yes</v>
      </c>
      <c r="AG9" s="535">
        <f t="shared" si="8"/>
        <v>38041.999999999978</v>
      </c>
      <c r="AH9" s="679">
        <v>82</v>
      </c>
      <c r="AI9" s="704">
        <f t="shared" si="9"/>
        <v>41410</v>
      </c>
      <c r="AJ9" s="710">
        <f>(E9*$AJ$2)*('2627 Summary'!$B$19-'2627 Summary'!$B$18)</f>
        <v>33694.34626966522</v>
      </c>
      <c r="AK9" s="716">
        <f t="shared" si="10"/>
        <v>3.7</v>
      </c>
      <c r="AL9" s="680" t="s">
        <v>844</v>
      </c>
      <c r="AM9" s="692">
        <f t="shared" si="11"/>
        <v>127.00000000000001</v>
      </c>
      <c r="AO9" s="704">
        <f t="shared" si="12"/>
        <v>387096.00000000006</v>
      </c>
      <c r="AP9" s="704">
        <f t="shared" si="13"/>
        <v>83820.000000000015</v>
      </c>
      <c r="AQ9" s="717">
        <f>VLOOKUP(A9,'2526 3.4% Allocations'!$1:$1048576,12,(FALSE))</f>
        <v>502.30089147839664</v>
      </c>
      <c r="AR9" s="717">
        <f t="shared" si="14"/>
        <v>63792.213217756384</v>
      </c>
      <c r="AT9" s="763">
        <f>D9/$C$9</f>
        <v>7.7519379844961239E-3</v>
      </c>
      <c r="AU9" s="763">
        <f t="shared" ref="AU9:AZ9" si="54">E9/$C$9</f>
        <v>0.5736434108527132</v>
      </c>
      <c r="AV9" s="763">
        <f t="shared" si="54"/>
        <v>1.5503875968992248E-2</v>
      </c>
      <c r="AW9" s="763">
        <f t="shared" si="54"/>
        <v>0.2868217054263566</v>
      </c>
      <c r="AX9" s="763">
        <f t="shared" si="54"/>
        <v>0</v>
      </c>
      <c r="AY9" s="763">
        <f t="shared" si="54"/>
        <v>6.2015503875968991E-2</v>
      </c>
      <c r="AZ9" s="763">
        <f t="shared" si="54"/>
        <v>5.4263565891472867E-2</v>
      </c>
      <c r="BA9" s="769">
        <f t="shared" si="16"/>
        <v>127.00000000000001</v>
      </c>
      <c r="BB9" s="692">
        <f t="shared" si="17"/>
        <v>73.83720930232559</v>
      </c>
      <c r="BC9" s="717">
        <f t="shared" si="18"/>
        <v>218268.75934914922</v>
      </c>
      <c r="BD9" s="692">
        <f t="shared" si="19"/>
        <v>46.271317829457367</v>
      </c>
      <c r="BE9" s="717">
        <f t="shared" si="20"/>
        <v>558155.21675054892</v>
      </c>
      <c r="BF9" s="692">
        <f t="shared" si="21"/>
        <v>6.891472868217055</v>
      </c>
      <c r="BG9" s="717">
        <f t="shared" si="22"/>
        <v>193766.40223318018</v>
      </c>
      <c r="BH9" s="717">
        <f t="shared" si="23"/>
        <v>970190.37833287823</v>
      </c>
      <c r="BI9" s="717">
        <f>VLOOKUP(A9,'2526 Band Calculations'!$A$5:$U$22,21,(FALSE))</f>
        <v>898695.48307770456</v>
      </c>
      <c r="BJ9" s="717">
        <f t="shared" si="24"/>
        <v>71494.895255173673</v>
      </c>
      <c r="BK9" s="692">
        <f>VLOOKUP(A9,'2526 Band Calculations'!$A$6:$U$21,11,(FALSE))</f>
        <v>76.379629629629648</v>
      </c>
      <c r="BL9" s="692">
        <f>VLOOKUP(A9,'2526 Band Calculations'!$A$6:$U$21,13,(FALSE))</f>
        <v>38.712962962962976</v>
      </c>
      <c r="BM9" s="692">
        <f>VLOOKUP(A9,'2526 Band Calculations'!$A$6:$U$21,15,(FALSE))</f>
        <v>7.3240740740740753</v>
      </c>
      <c r="BN9" s="692">
        <f t="shared" si="25"/>
        <v>-2.5424203273040575</v>
      </c>
      <c r="BO9" s="772">
        <f>BD9-BL9</f>
        <v>7.5583548664943905</v>
      </c>
      <c r="BP9" s="692">
        <f t="shared" si="27"/>
        <v>-0.43260120585702033</v>
      </c>
      <c r="BQ9" s="692">
        <f t="shared" si="28"/>
        <v>4.5833333333333126</v>
      </c>
      <c r="BR9" s="717">
        <f t="shared" si="29"/>
        <v>1270000.0000000002</v>
      </c>
      <c r="BS9" s="717">
        <f t="shared" si="30"/>
        <v>2278232.3783328785</v>
      </c>
      <c r="BT9" s="717">
        <f>VLOOKUP(A9,'2627 Funding Detail 2'!$A$4:$AD$19,30,(FALSE))</f>
        <v>2188049.1782945739</v>
      </c>
      <c r="BU9" s="717">
        <f t="shared" si="31"/>
        <v>90183.200038304552</v>
      </c>
      <c r="BV9" s="717">
        <f t="shared" si="32"/>
        <v>17938.837624668333</v>
      </c>
      <c r="BW9" s="717">
        <f t="shared" si="33"/>
        <v>17228.733687358847</v>
      </c>
      <c r="BX9" s="717">
        <f t="shared" si="34"/>
        <v>710.10393730948635</v>
      </c>
      <c r="BY9" s="763">
        <f t="shared" si="35"/>
        <v>4.1216258269202187E-2</v>
      </c>
      <c r="BZ9" s="708">
        <f t="shared" si="36"/>
        <v>4.1216258269202187E-2</v>
      </c>
      <c r="CA9" s="707">
        <f t="shared" si="37"/>
        <v>0</v>
      </c>
      <c r="CB9" s="717">
        <f t="shared" si="38"/>
        <v>0</v>
      </c>
      <c r="CC9" s="717"/>
      <c r="CD9" s="717">
        <f>VLOOKUP(A9,'2526 Funding Comparisons'!$A$4:$AM$15,39,(FALSE))</f>
        <v>74741.547892519549</v>
      </c>
      <c r="CE9" s="717">
        <f t="shared" si="39"/>
        <v>15441.652145785003</v>
      </c>
      <c r="CG9" s="764">
        <f t="shared" si="40"/>
        <v>22475.201508272712</v>
      </c>
      <c r="CJ9" s="704">
        <f t="shared" si="41"/>
        <v>161290</v>
      </c>
      <c r="CK9" s="704">
        <f t="shared" si="42"/>
        <v>225806</v>
      </c>
      <c r="CL9" s="704">
        <f t="shared" si="43"/>
        <v>34925</v>
      </c>
      <c r="CM9" s="704">
        <f t="shared" si="44"/>
        <v>48895</v>
      </c>
      <c r="CN9" s="704">
        <f t="shared" si="45"/>
        <v>26580.08884073182</v>
      </c>
      <c r="CO9" s="704">
        <f t="shared" si="46"/>
        <v>37212.124377024549</v>
      </c>
      <c r="CP9" s="893">
        <f t="shared" si="47"/>
        <v>222795.08884073183</v>
      </c>
      <c r="CQ9" s="893">
        <f t="shared" si="48"/>
        <v>311913.12437702453</v>
      </c>
    </row>
    <row r="10" spans="1:95" x14ac:dyDescent="0.25">
      <c r="A10" s="688">
        <v>9257008</v>
      </c>
      <c r="B10" s="712" t="s">
        <v>744</v>
      </c>
      <c r="C10" s="690">
        <v>96</v>
      </c>
      <c r="D10" s="689">
        <v>3</v>
      </c>
      <c r="E10" s="689">
        <v>45</v>
      </c>
      <c r="F10" s="689">
        <v>2</v>
      </c>
      <c r="G10" s="689">
        <v>35</v>
      </c>
      <c r="H10" s="696">
        <v>0</v>
      </c>
      <c r="I10" s="689">
        <v>10</v>
      </c>
      <c r="J10" s="696">
        <v>1</v>
      </c>
      <c r="K10" s="698"/>
      <c r="L10" s="679">
        <v>101</v>
      </c>
      <c r="M10" s="679">
        <v>0</v>
      </c>
      <c r="N10" s="679">
        <f t="shared" si="1"/>
        <v>101</v>
      </c>
      <c r="O10" s="679">
        <v>101</v>
      </c>
      <c r="P10" s="679">
        <v>0</v>
      </c>
      <c r="Q10" s="679">
        <f t="shared" si="2"/>
        <v>101</v>
      </c>
      <c r="R10" s="679">
        <f t="shared" si="3"/>
        <v>0</v>
      </c>
      <c r="S10" s="891">
        <f t="shared" si="4"/>
        <v>101</v>
      </c>
      <c r="T10" s="701"/>
      <c r="U10" s="679"/>
      <c r="V10" s="702"/>
      <c r="W10" s="693">
        <f t="shared" si="49"/>
        <v>48</v>
      </c>
      <c r="X10" s="694">
        <f>W10*'2627 Summary'!$B$18</f>
        <v>110211.88009343116</v>
      </c>
      <c r="Y10" s="693">
        <f t="shared" si="50"/>
        <v>47</v>
      </c>
      <c r="Z10" s="694">
        <f>Y10*'2627 Summary'!$B$19</f>
        <v>535925.06268362841</v>
      </c>
      <c r="AA10" s="693">
        <f t="shared" si="5"/>
        <v>1</v>
      </c>
      <c r="AB10" s="695">
        <f>AA10*'2627 Summary'!$B$20</f>
        <v>27456.834519775301</v>
      </c>
      <c r="AC10" s="695">
        <f t="shared" si="51"/>
        <v>673593.77729683486</v>
      </c>
      <c r="AD10" s="537" t="s">
        <v>379</v>
      </c>
      <c r="AE10" s="537">
        <f t="shared" si="6"/>
        <v>0</v>
      </c>
      <c r="AF10" s="543" t="str">
        <f t="shared" si="7"/>
        <v>Yes</v>
      </c>
      <c r="AG10" s="535">
        <f t="shared" si="8"/>
        <v>81046</v>
      </c>
      <c r="AH10" s="679">
        <v>51</v>
      </c>
      <c r="AI10" s="704">
        <f t="shared" si="9"/>
        <v>25755</v>
      </c>
      <c r="AJ10" s="710">
        <f>(E10*$AJ$2)*('2627 Summary'!$B$19-'2627 Summary'!$B$18)</f>
        <v>20489.805163985606</v>
      </c>
      <c r="AK10" s="716">
        <f t="shared" si="10"/>
        <v>2.25</v>
      </c>
      <c r="AL10" s="680" t="s">
        <v>844</v>
      </c>
      <c r="AM10" s="692">
        <f t="shared" si="11"/>
        <v>101</v>
      </c>
      <c r="AO10" s="704">
        <f t="shared" si="12"/>
        <v>307848</v>
      </c>
      <c r="AP10" s="704">
        <f t="shared" si="13"/>
        <v>66660</v>
      </c>
      <c r="AQ10" s="717">
        <f>VLOOKUP(A10,'2526 3.4% Allocations'!$1:$1048576,12,(FALSE))</f>
        <v>513.78190772864195</v>
      </c>
      <c r="AR10" s="717">
        <f t="shared" si="14"/>
        <v>51891.972680592837</v>
      </c>
      <c r="AT10" s="763">
        <f>D10/$C$10</f>
        <v>3.125E-2</v>
      </c>
      <c r="AU10" s="763">
        <f t="shared" ref="AU10:AZ10" si="55">E10/$C$10</f>
        <v>0.46875</v>
      </c>
      <c r="AV10" s="763">
        <f t="shared" si="55"/>
        <v>2.0833333333333332E-2</v>
      </c>
      <c r="AW10" s="763">
        <f t="shared" si="55"/>
        <v>0.36458333333333331</v>
      </c>
      <c r="AX10" s="763">
        <f t="shared" si="55"/>
        <v>0</v>
      </c>
      <c r="AY10" s="763">
        <f t="shared" si="55"/>
        <v>0.10416666666666667</v>
      </c>
      <c r="AZ10" s="763">
        <f t="shared" si="55"/>
        <v>1.0416666666666666E-2</v>
      </c>
      <c r="BA10" s="769">
        <f t="shared" si="16"/>
        <v>101</v>
      </c>
      <c r="BB10" s="692">
        <f t="shared" si="17"/>
        <v>50.5</v>
      </c>
      <c r="BC10" s="717">
        <f t="shared" si="18"/>
        <v>149282.08218163069</v>
      </c>
      <c r="BD10" s="692">
        <f t="shared" si="19"/>
        <v>49.447916666666664</v>
      </c>
      <c r="BE10" s="717">
        <f t="shared" si="20"/>
        <v>596473.45136506739</v>
      </c>
      <c r="BF10" s="692">
        <f t="shared" si="21"/>
        <v>1.0520833333333333</v>
      </c>
      <c r="BG10" s="717">
        <f t="shared" si="22"/>
        <v>29581.252984346927</v>
      </c>
      <c r="BH10" s="717">
        <f t="shared" si="23"/>
        <v>775336.78653104499</v>
      </c>
      <c r="BI10" s="717">
        <f>VLOOKUP(A10,'2526 Band Calculations'!$A$5:$U$22,21,(FALSE))</f>
        <v>645894.1311609979</v>
      </c>
      <c r="BJ10" s="717">
        <f t="shared" si="24"/>
        <v>129442.65537004708</v>
      </c>
      <c r="BK10" s="692">
        <f>VLOOKUP(A10,'2526 Band Calculations'!$A$6:$U$21,11,(FALSE))</f>
        <v>64.64</v>
      </c>
      <c r="BL10" s="692">
        <f>VLOOKUP(A10,'2526 Band Calculations'!$A$6:$U$21,13,(FALSE))</f>
        <v>35.35</v>
      </c>
      <c r="BM10" s="692">
        <f>VLOOKUP(A10,'2526 Band Calculations'!$A$6:$U$21,15,(FALSE))</f>
        <v>1.01</v>
      </c>
      <c r="BN10" s="692">
        <f t="shared" si="25"/>
        <v>-14.14</v>
      </c>
      <c r="BO10" s="772">
        <f t="shared" si="26"/>
        <v>14.097916666666663</v>
      </c>
      <c r="BP10" s="692">
        <f t="shared" si="27"/>
        <v>4.208333333333325E-2</v>
      </c>
      <c r="BQ10" s="692">
        <f t="shared" si="28"/>
        <v>-4.4408920985006262E-15</v>
      </c>
      <c r="BR10" s="717">
        <f t="shared" si="29"/>
        <v>1010000</v>
      </c>
      <c r="BS10" s="717">
        <f t="shared" si="30"/>
        <v>1866382.7865310451</v>
      </c>
      <c r="BT10" s="717">
        <f>VLOOKUP(A10,'2627 Funding Detail 2'!$A$4:$AD$19,30,(FALSE))</f>
        <v>1849648.40625</v>
      </c>
      <c r="BU10" s="717">
        <f t="shared" si="31"/>
        <v>16734.380281045102</v>
      </c>
      <c r="BV10" s="717">
        <f t="shared" si="32"/>
        <v>18479.037490406386</v>
      </c>
      <c r="BW10" s="717">
        <f t="shared" si="33"/>
        <v>18313.350556930694</v>
      </c>
      <c r="BX10" s="717">
        <f t="shared" si="34"/>
        <v>165.68693347569206</v>
      </c>
      <c r="BY10" s="763">
        <f t="shared" si="35"/>
        <v>9.04733041398521E-3</v>
      </c>
      <c r="BZ10" s="708">
        <f t="shared" si="36"/>
        <v>9.04733041398521E-3</v>
      </c>
      <c r="CA10" s="707">
        <f t="shared" si="37"/>
        <v>0</v>
      </c>
      <c r="CB10" s="717">
        <f t="shared" si="38"/>
        <v>0</v>
      </c>
      <c r="CC10" s="717"/>
      <c r="CD10" s="717">
        <f>VLOOKUP(A10,'2526 Funding Comparisons'!$A$4:$AM$15,39,(FALSE))</f>
        <v>9915.9511609977089</v>
      </c>
      <c r="CE10" s="717">
        <f t="shared" si="39"/>
        <v>6818.4291200473926</v>
      </c>
      <c r="CG10" s="764">
        <f t="shared" si="40"/>
        <v>22955.819398135027</v>
      </c>
      <c r="CJ10" s="704">
        <f t="shared" si="41"/>
        <v>128270</v>
      </c>
      <c r="CK10" s="704">
        <f t="shared" si="42"/>
        <v>179578</v>
      </c>
      <c r="CL10" s="704">
        <f t="shared" si="43"/>
        <v>27775</v>
      </c>
      <c r="CM10" s="704">
        <f t="shared" si="44"/>
        <v>38885</v>
      </c>
      <c r="CN10" s="704">
        <f t="shared" si="45"/>
        <v>21621.655283580349</v>
      </c>
      <c r="CO10" s="704">
        <f t="shared" si="46"/>
        <v>30270.317397012488</v>
      </c>
      <c r="CP10" s="893">
        <f t="shared" si="47"/>
        <v>177666.65528358036</v>
      </c>
      <c r="CQ10" s="893">
        <f t="shared" si="48"/>
        <v>248733.31739701249</v>
      </c>
    </row>
    <row r="11" spans="1:95" x14ac:dyDescent="0.25">
      <c r="A11" s="688">
        <v>9257034</v>
      </c>
      <c r="B11" s="712" t="s">
        <v>813</v>
      </c>
      <c r="C11" s="690">
        <v>145</v>
      </c>
      <c r="D11" s="892">
        <f>13-1</f>
        <v>12</v>
      </c>
      <c r="E11" s="689">
        <v>82</v>
      </c>
      <c r="F11" s="689">
        <v>11</v>
      </c>
      <c r="G11" s="689">
        <v>24</v>
      </c>
      <c r="H11" s="691">
        <v>6</v>
      </c>
      <c r="I11" s="892">
        <f>7+1</f>
        <v>8</v>
      </c>
      <c r="J11" s="691">
        <v>2</v>
      </c>
      <c r="K11" s="697"/>
      <c r="L11" s="679">
        <v>136</v>
      </c>
      <c r="M11" s="679">
        <v>29</v>
      </c>
      <c r="N11" s="679">
        <f t="shared" si="1"/>
        <v>165</v>
      </c>
      <c r="O11" s="679">
        <v>136</v>
      </c>
      <c r="P11" s="679">
        <v>29</v>
      </c>
      <c r="Q11" s="679">
        <f t="shared" si="2"/>
        <v>165</v>
      </c>
      <c r="R11" s="679">
        <f t="shared" si="3"/>
        <v>0</v>
      </c>
      <c r="S11" s="891">
        <f t="shared" si="4"/>
        <v>165</v>
      </c>
      <c r="T11" s="701"/>
      <c r="U11" s="679">
        <v>7</v>
      </c>
      <c r="V11" s="702"/>
      <c r="W11" s="693">
        <f t="shared" si="49"/>
        <v>94</v>
      </c>
      <c r="X11" s="694">
        <f>W11*'2627 Summary'!$B$18</f>
        <v>215831.59851630268</v>
      </c>
      <c r="Y11" s="693">
        <f t="shared" si="50"/>
        <v>49</v>
      </c>
      <c r="Z11" s="694">
        <f>Y11*'2627 Summary'!$B$19</f>
        <v>558730.38449995301</v>
      </c>
      <c r="AA11" s="693">
        <f t="shared" si="5"/>
        <v>2</v>
      </c>
      <c r="AB11" s="695">
        <f>AA11*'2627 Summary'!$B$20</f>
        <v>54913.669039550601</v>
      </c>
      <c r="AC11" s="695">
        <f t="shared" si="51"/>
        <v>829475.65205580625</v>
      </c>
      <c r="AD11" s="537" t="s">
        <v>379</v>
      </c>
      <c r="AE11" s="537">
        <f t="shared" si="6"/>
        <v>0</v>
      </c>
      <c r="AF11" s="543" t="str">
        <f t="shared" si="7"/>
        <v>No</v>
      </c>
      <c r="AG11" s="535">
        <f t="shared" si="8"/>
        <v>0</v>
      </c>
      <c r="AH11" s="679">
        <v>94</v>
      </c>
      <c r="AI11" s="704">
        <f t="shared" si="9"/>
        <v>47470</v>
      </c>
      <c r="AJ11" s="710">
        <f>(E11*$AJ$2)*('2627 Summary'!$B$19-'2627 Summary'!$B$18)</f>
        <v>37336.97829881822</v>
      </c>
      <c r="AK11" s="716">
        <f t="shared" si="10"/>
        <v>4.1000000000000005</v>
      </c>
      <c r="AL11" s="680" t="s">
        <v>844</v>
      </c>
      <c r="AM11" s="692">
        <f t="shared" si="11"/>
        <v>165</v>
      </c>
      <c r="AO11" s="704">
        <f t="shared" si="12"/>
        <v>502920</v>
      </c>
      <c r="AP11" s="704">
        <f t="shared" si="13"/>
        <v>108900</v>
      </c>
      <c r="AQ11" s="717">
        <f>VLOOKUP(A11,'2526 3.4% Allocations'!$1:$1048576,12,(FALSE))</f>
        <v>488.80077334972242</v>
      </c>
      <c r="AR11" s="717">
        <f t="shared" si="14"/>
        <v>80652.127602704204</v>
      </c>
      <c r="AT11" s="763">
        <f>D11/$C$11</f>
        <v>8.2758620689655171E-2</v>
      </c>
      <c r="AU11" s="763">
        <f t="shared" ref="AU11:AZ11" si="56">E11/$C$11</f>
        <v>0.56551724137931036</v>
      </c>
      <c r="AV11" s="763">
        <f t="shared" si="56"/>
        <v>7.586206896551724E-2</v>
      </c>
      <c r="AW11" s="763">
        <f t="shared" si="56"/>
        <v>0.16551724137931034</v>
      </c>
      <c r="AX11" s="763">
        <f t="shared" si="56"/>
        <v>4.1379310344827586E-2</v>
      </c>
      <c r="AY11" s="763">
        <f t="shared" si="56"/>
        <v>5.5172413793103448E-2</v>
      </c>
      <c r="AZ11" s="763">
        <f t="shared" si="56"/>
        <v>1.3793103448275862E-2</v>
      </c>
      <c r="BA11" s="769">
        <f t="shared" si="16"/>
        <v>165</v>
      </c>
      <c r="BB11" s="692">
        <f>(SUM(AT11:AU11))*BA11</f>
        <v>106.9655172413793</v>
      </c>
      <c r="BC11" s="717">
        <f t="shared" si="18"/>
        <v>316198.71555303404</v>
      </c>
      <c r="BD11" s="692">
        <f t="shared" si="19"/>
        <v>55.758620689655174</v>
      </c>
      <c r="BE11" s="717">
        <f t="shared" si="20"/>
        <v>672597.33408615342</v>
      </c>
      <c r="BF11" s="692">
        <f t="shared" si="21"/>
        <v>2.2758620689655173</v>
      </c>
      <c r="BG11" s="717">
        <f t="shared" si="22"/>
        <v>63990.037182936896</v>
      </c>
      <c r="BH11" s="717">
        <f t="shared" si="23"/>
        <v>1052786.0868221244</v>
      </c>
      <c r="BI11" s="717">
        <f>VLOOKUP(A11,'2526 Band Calculations'!$A$5:$U$22,21,(FALSE))</f>
        <v>919673.52671947889</v>
      </c>
      <c r="BJ11" s="717">
        <f t="shared" si="24"/>
        <v>133112.56010264554</v>
      </c>
      <c r="BK11" s="692">
        <f>VLOOKUP(A11,'2526 Band Calculations'!$A$6:$U$21,11,(FALSE))</f>
        <v>106.47512437810947</v>
      </c>
      <c r="BL11" s="692">
        <f>VLOOKUP(A11,'2526 Band Calculations'!$A$6:$U$21,13,(FALSE))</f>
        <v>47.450870646766177</v>
      </c>
      <c r="BM11" s="692">
        <f>VLOOKUP(A11,'2526 Band Calculations'!$A$6:$U$21,15,(FALSE))</f>
        <v>1.1573383084577118</v>
      </c>
      <c r="BN11" s="692">
        <f t="shared" si="25"/>
        <v>0.49039286326983245</v>
      </c>
      <c r="BO11" s="692">
        <f t="shared" si="26"/>
        <v>8.3077500428889977</v>
      </c>
      <c r="BP11" s="692">
        <f t="shared" si="27"/>
        <v>1.1185237605078056</v>
      </c>
      <c r="BQ11" s="692">
        <f t="shared" si="28"/>
        <v>9.9166666666666359</v>
      </c>
      <c r="BR11" s="717">
        <f t="shared" si="29"/>
        <v>1650000</v>
      </c>
      <c r="BS11" s="717">
        <f t="shared" si="30"/>
        <v>2702786.0868221242</v>
      </c>
      <c r="BT11" s="717">
        <f>VLOOKUP(A11,'2627 Funding Detail 2'!$A$4:$AD$19,30,(FALSE))</f>
        <v>2555093.2414386137</v>
      </c>
      <c r="BU11" s="717">
        <f t="shared" si="31"/>
        <v>147692.84538351046</v>
      </c>
      <c r="BV11" s="717">
        <f t="shared" si="32"/>
        <v>16380.521738315903</v>
      </c>
      <c r="BW11" s="717">
        <f t="shared" si="33"/>
        <v>15485.413584476448</v>
      </c>
      <c r="BX11" s="717">
        <f t="shared" si="34"/>
        <v>895.10815383945555</v>
      </c>
      <c r="BY11" s="763">
        <f t="shared" si="35"/>
        <v>5.7803309479365038E-2</v>
      </c>
      <c r="BZ11" s="708">
        <f t="shared" si="36"/>
        <v>5.3901654739682517E-2</v>
      </c>
      <c r="CA11" s="707">
        <f t="shared" si="37"/>
        <v>-60.418737307816627</v>
      </c>
      <c r="CB11" s="717">
        <f t="shared" si="38"/>
        <v>-8760.716909633411</v>
      </c>
      <c r="CC11" s="717"/>
      <c r="CD11" s="717">
        <f>VLOOKUP(A11,'2526 Funding Comparisons'!$A$4:$AM$15,39,(FALSE))</f>
        <v>102940.47829450882</v>
      </c>
      <c r="CE11" s="717">
        <f t="shared" si="39"/>
        <v>44752.367089001636</v>
      </c>
      <c r="CG11" s="764">
        <f t="shared" si="40"/>
        <v>20865.019481362593</v>
      </c>
      <c r="CJ11" s="704">
        <f t="shared" si="41"/>
        <v>209550</v>
      </c>
      <c r="CK11" s="704">
        <f t="shared" si="42"/>
        <v>293370</v>
      </c>
      <c r="CL11" s="704">
        <f t="shared" si="43"/>
        <v>45375</v>
      </c>
      <c r="CM11" s="704">
        <f t="shared" si="44"/>
        <v>63525</v>
      </c>
      <c r="CN11" s="704">
        <f t="shared" si="45"/>
        <v>33605.05316779342</v>
      </c>
      <c r="CO11" s="704">
        <f t="shared" si="46"/>
        <v>47047.074434910784</v>
      </c>
      <c r="CP11" s="893">
        <f t="shared" si="47"/>
        <v>288530.05316779343</v>
      </c>
      <c r="CQ11" s="893">
        <f t="shared" si="48"/>
        <v>403942.07443491078</v>
      </c>
    </row>
    <row r="12" spans="1:95" x14ac:dyDescent="0.25">
      <c r="A12" s="688">
        <v>9257009</v>
      </c>
      <c r="B12" s="712" t="s">
        <v>745</v>
      </c>
      <c r="C12" s="690">
        <v>231</v>
      </c>
      <c r="D12" s="689">
        <v>25</v>
      </c>
      <c r="E12" s="689">
        <v>109</v>
      </c>
      <c r="F12" s="689">
        <v>14</v>
      </c>
      <c r="G12" s="689">
        <f>35-1</f>
        <v>34</v>
      </c>
      <c r="H12" s="691">
        <v>8</v>
      </c>
      <c r="I12" s="892">
        <f>25</f>
        <v>25</v>
      </c>
      <c r="J12" s="898">
        <f>15+1</f>
        <v>16</v>
      </c>
      <c r="K12" s="697"/>
      <c r="L12" s="679">
        <v>224</v>
      </c>
      <c r="M12" s="679">
        <v>16</v>
      </c>
      <c r="N12" s="679">
        <f t="shared" si="1"/>
        <v>240</v>
      </c>
      <c r="O12" s="889">
        <f>219+5</f>
        <v>224</v>
      </c>
      <c r="P12" s="679">
        <v>16</v>
      </c>
      <c r="Q12" s="679">
        <f t="shared" si="2"/>
        <v>240</v>
      </c>
      <c r="R12" s="679">
        <f t="shared" si="3"/>
        <v>0</v>
      </c>
      <c r="S12" s="891">
        <f>(L12*(5/12))+(O12*(7/12))+(M12*(4/12))+(P12*(8/12))</f>
        <v>240.00000000000003</v>
      </c>
      <c r="T12" s="701"/>
      <c r="U12" s="679">
        <v>11</v>
      </c>
      <c r="V12" s="702"/>
      <c r="W12" s="693">
        <f t="shared" si="49"/>
        <v>134</v>
      </c>
      <c r="X12" s="694">
        <f>W12*'2627 Summary'!$B$18</f>
        <v>307674.83192749531</v>
      </c>
      <c r="Y12" s="693">
        <f t="shared" si="50"/>
        <v>81</v>
      </c>
      <c r="Z12" s="694">
        <f>Y12*'2627 Summary'!$B$19</f>
        <v>923615.53356114682</v>
      </c>
      <c r="AA12" s="693">
        <f t="shared" si="5"/>
        <v>16</v>
      </c>
      <c r="AB12" s="695">
        <f>AA12*'2627 Summary'!$B$20</f>
        <v>439309.35231640481</v>
      </c>
      <c r="AC12" s="695">
        <f t="shared" si="51"/>
        <v>1670599.7178050471</v>
      </c>
      <c r="AD12" s="537" t="s">
        <v>380</v>
      </c>
      <c r="AE12" s="537">
        <f t="shared" si="6"/>
        <v>82700</v>
      </c>
      <c r="AF12" s="543" t="str">
        <f t="shared" si="7"/>
        <v>No</v>
      </c>
      <c r="AG12" s="535">
        <f t="shared" si="8"/>
        <v>0</v>
      </c>
      <c r="AH12" s="679">
        <v>119</v>
      </c>
      <c r="AI12" s="704">
        <f t="shared" si="9"/>
        <v>60095</v>
      </c>
      <c r="AJ12" s="710">
        <f>(E12*$AJ$2)*('2627 Summary'!$B$19-'2627 Summary'!$B$18)</f>
        <v>49630.861397209577</v>
      </c>
      <c r="AK12" s="716">
        <f t="shared" si="10"/>
        <v>5.45</v>
      </c>
      <c r="AL12" s="680" t="s">
        <v>844</v>
      </c>
      <c r="AM12" s="692">
        <f t="shared" si="11"/>
        <v>240</v>
      </c>
      <c r="AO12" s="704">
        <f t="shared" si="12"/>
        <v>731520</v>
      </c>
      <c r="AP12" s="704">
        <f t="shared" si="13"/>
        <v>158400</v>
      </c>
      <c r="AQ12" s="717">
        <f>VLOOKUP(A12,'2526 3.4% Allocations'!$1:$1048576,12,(FALSE))</f>
        <v>562.2163648630584</v>
      </c>
      <c r="AR12" s="717">
        <f t="shared" si="14"/>
        <v>134931.92756713403</v>
      </c>
      <c r="AT12" s="763">
        <f>D12/$C$12</f>
        <v>0.10822510822510822</v>
      </c>
      <c r="AU12" s="763">
        <f t="shared" ref="AU12:AZ12" si="57">E12/$C$12</f>
        <v>0.47186147186147187</v>
      </c>
      <c r="AV12" s="763">
        <f t="shared" si="57"/>
        <v>6.0606060606060608E-2</v>
      </c>
      <c r="AW12" s="763">
        <f t="shared" si="57"/>
        <v>0.1471861471861472</v>
      </c>
      <c r="AX12" s="763">
        <f t="shared" si="57"/>
        <v>3.4632034632034632E-2</v>
      </c>
      <c r="AY12" s="763">
        <f t="shared" si="57"/>
        <v>0.10822510822510822</v>
      </c>
      <c r="AZ12" s="763">
        <f t="shared" si="57"/>
        <v>6.9264069264069264E-2</v>
      </c>
      <c r="BA12" s="769">
        <f>S12</f>
        <v>240.00000000000003</v>
      </c>
      <c r="BB12" s="692">
        <f>(SUM(AT12:AU12))*BA12</f>
        <v>139.22077922077924</v>
      </c>
      <c r="BC12" s="717">
        <f t="shared" si="18"/>
        <v>411547.8773272679</v>
      </c>
      <c r="BD12" s="692">
        <f t="shared" si="19"/>
        <v>84.155844155844164</v>
      </c>
      <c r="BE12" s="717">
        <f t="shared" si="20"/>
        <v>1015143.4114921007</v>
      </c>
      <c r="BF12" s="692">
        <f t="shared" si="21"/>
        <v>16.623376623376625</v>
      </c>
      <c r="BG12" s="717">
        <f t="shared" si="22"/>
        <v>467396.72967938165</v>
      </c>
      <c r="BH12" s="717">
        <f t="shared" si="23"/>
        <v>1894088.0184987502</v>
      </c>
      <c r="BI12" s="717">
        <f>VLOOKUP(A12,'2526 Band Calculations'!$A$5:$U$22,21,(FALSE))</f>
        <v>1716612.0149780731</v>
      </c>
      <c r="BJ12" s="717">
        <f t="shared" si="24"/>
        <v>177476.0035206771</v>
      </c>
      <c r="BK12" s="692">
        <f>VLOOKUP(A12,'2526 Band Calculations'!$A$6:$U$21,11,(FALSE))</f>
        <v>139.65196078431376</v>
      </c>
      <c r="BL12" s="692">
        <f>VLOOKUP(A12,'2526 Band Calculations'!$A$6:$U$21,13,(FALSE))</f>
        <v>76.583333333333343</v>
      </c>
      <c r="BM12" s="692">
        <f>VLOOKUP(A12,'2526 Band Calculations'!$A$6:$U$21,15,(FALSE))</f>
        <v>13.514705882352942</v>
      </c>
      <c r="BN12" s="692">
        <f t="shared" si="25"/>
        <v>-0.43118156353452264</v>
      </c>
      <c r="BO12" s="692">
        <f t="shared" si="26"/>
        <v>7.5725108225108215</v>
      </c>
      <c r="BP12" s="692">
        <f t="shared" si="27"/>
        <v>3.1086707410236833</v>
      </c>
      <c r="BQ12" s="692">
        <f t="shared" si="28"/>
        <v>10.249999999999982</v>
      </c>
      <c r="BR12" s="717">
        <f>10000*S12</f>
        <v>2400000.0000000005</v>
      </c>
      <c r="BS12" s="717">
        <f>BR12+BH12+AE12+AG12</f>
        <v>4376788.0184987504</v>
      </c>
      <c r="BT12" s="717">
        <f>VLOOKUP(A12,'2627 Funding Detail 2'!$A$4:$AD$19,30,(FALSE))</f>
        <v>4227159.75605362</v>
      </c>
      <c r="BU12" s="717">
        <f t="shared" si="31"/>
        <v>149628.26244513039</v>
      </c>
      <c r="BV12" s="717">
        <f t="shared" si="32"/>
        <v>18236.616743744791</v>
      </c>
      <c r="BW12" s="717">
        <f t="shared" si="33"/>
        <v>17613.165650223415</v>
      </c>
      <c r="BX12" s="717">
        <f t="shared" si="34"/>
        <v>623.45109352137661</v>
      </c>
      <c r="BY12" s="763">
        <f t="shared" si="35"/>
        <v>3.5396879010983949E-2</v>
      </c>
      <c r="BZ12" s="708">
        <f t="shared" si="36"/>
        <v>3.5396879010983949E-2</v>
      </c>
      <c r="CA12" s="707">
        <f t="shared" si="37"/>
        <v>0</v>
      </c>
      <c r="CB12" s="717">
        <f t="shared" si="38"/>
        <v>0</v>
      </c>
      <c r="CC12" s="717"/>
      <c r="CD12" s="717">
        <f>VLOOKUP(A12,'2526 Funding Comparisons'!$A$4:$AM$15,39,(FALSE))</f>
        <v>88350.726154526317</v>
      </c>
      <c r="CE12" s="717">
        <f t="shared" si="39"/>
        <v>61277.536290604068</v>
      </c>
      <c r="CG12" s="764">
        <f t="shared" si="40"/>
        <v>22757.228941941183</v>
      </c>
      <c r="CJ12" s="704">
        <f t="shared" si="41"/>
        <v>304800</v>
      </c>
      <c r="CK12" s="704">
        <f t="shared" si="42"/>
        <v>426720</v>
      </c>
      <c r="CL12" s="704">
        <f t="shared" si="43"/>
        <v>66000</v>
      </c>
      <c r="CM12" s="704">
        <f t="shared" si="44"/>
        <v>92400</v>
      </c>
      <c r="CN12" s="704">
        <f t="shared" si="45"/>
        <v>56221.636486305841</v>
      </c>
      <c r="CO12" s="704">
        <f t="shared" si="46"/>
        <v>78710.291080828174</v>
      </c>
      <c r="CP12" s="893">
        <f t="shared" si="47"/>
        <v>427021.63648630586</v>
      </c>
      <c r="CQ12" s="893">
        <f t="shared" si="48"/>
        <v>597830.29108082817</v>
      </c>
    </row>
    <row r="13" spans="1:95" x14ac:dyDescent="0.25">
      <c r="A13" s="688">
        <v>9257028</v>
      </c>
      <c r="B13" s="712" t="s">
        <v>749</v>
      </c>
      <c r="C13" s="690">
        <v>134</v>
      </c>
      <c r="D13" s="689">
        <v>3</v>
      </c>
      <c r="E13" s="690">
        <v>33</v>
      </c>
      <c r="F13" s="690">
        <v>6</v>
      </c>
      <c r="G13" s="690">
        <v>35</v>
      </c>
      <c r="H13" s="898">
        <f>8-1</f>
        <v>7</v>
      </c>
      <c r="I13" s="899">
        <f>25-4</f>
        <v>21</v>
      </c>
      <c r="J13" s="898">
        <f>24+5</f>
        <v>29</v>
      </c>
      <c r="K13" s="697"/>
      <c r="L13" s="679">
        <v>127</v>
      </c>
      <c r="M13" s="679">
        <v>21</v>
      </c>
      <c r="N13" s="679">
        <f t="shared" si="1"/>
        <v>148</v>
      </c>
      <c r="O13" s="889">
        <f>148-21</f>
        <v>127</v>
      </c>
      <c r="P13" s="679">
        <v>21</v>
      </c>
      <c r="Q13" s="679">
        <f t="shared" si="2"/>
        <v>148</v>
      </c>
      <c r="R13" s="679">
        <f t="shared" si="3"/>
        <v>0</v>
      </c>
      <c r="S13" s="891">
        <f t="shared" si="4"/>
        <v>148</v>
      </c>
      <c r="T13" s="701"/>
      <c r="U13" s="679">
        <v>9</v>
      </c>
      <c r="V13" s="702"/>
      <c r="W13" s="693">
        <f t="shared" si="49"/>
        <v>36</v>
      </c>
      <c r="X13" s="694">
        <f>W13*'2627 Summary'!$B$18</f>
        <v>82658.910070073369</v>
      </c>
      <c r="Y13" s="693">
        <f t="shared" si="50"/>
        <v>69</v>
      </c>
      <c r="Z13" s="694">
        <f>Y13*'2627 Summary'!$B$19</f>
        <v>786783.60266319918</v>
      </c>
      <c r="AA13" s="693">
        <f t="shared" si="5"/>
        <v>29</v>
      </c>
      <c r="AB13" s="695">
        <f>AA13*'2627 Summary'!$B$20</f>
        <v>796248.20107348368</v>
      </c>
      <c r="AC13" s="695">
        <f t="shared" si="51"/>
        <v>1665690.7138067563</v>
      </c>
      <c r="AD13" s="537" t="s">
        <v>379</v>
      </c>
      <c r="AE13" s="537">
        <f t="shared" si="6"/>
        <v>0</v>
      </c>
      <c r="AF13" s="543" t="str">
        <f t="shared" si="7"/>
        <v>Yes</v>
      </c>
      <c r="AG13" s="535">
        <f t="shared" si="8"/>
        <v>3308</v>
      </c>
      <c r="AH13" s="679">
        <v>56</v>
      </c>
      <c r="AI13" s="704">
        <f t="shared" si="9"/>
        <v>28280</v>
      </c>
      <c r="AJ13" s="710">
        <f>(E13*$AJ$2)*('2627 Summary'!$B$19-'2627 Summary'!$B$18)</f>
        <v>15025.857120256111</v>
      </c>
      <c r="AK13" s="716">
        <f t="shared" si="10"/>
        <v>1.6500000000000001</v>
      </c>
      <c r="AL13" s="680" t="s">
        <v>844</v>
      </c>
      <c r="AM13" s="692">
        <f t="shared" si="11"/>
        <v>148</v>
      </c>
      <c r="AO13" s="704">
        <f t="shared" si="12"/>
        <v>451104</v>
      </c>
      <c r="AP13" s="704">
        <f t="shared" si="13"/>
        <v>97680</v>
      </c>
      <c r="AQ13" s="717">
        <f>VLOOKUP(A13,'2526 3.4% Allocations'!$1:$1048576,12,(FALSE))</f>
        <v>604.79343204780764</v>
      </c>
      <c r="AR13" s="717">
        <f t="shared" si="14"/>
        <v>89509.427943075527</v>
      </c>
      <c r="AT13" s="763">
        <f>D13/$C$13</f>
        <v>2.2388059701492536E-2</v>
      </c>
      <c r="AU13" s="763">
        <f t="shared" ref="AU13:AY13" si="58">E13/$C$13</f>
        <v>0.2462686567164179</v>
      </c>
      <c r="AV13" s="763">
        <f t="shared" si="58"/>
        <v>4.4776119402985072E-2</v>
      </c>
      <c r="AW13" s="763">
        <f t="shared" si="58"/>
        <v>0.26119402985074625</v>
      </c>
      <c r="AX13" s="763">
        <f t="shared" si="58"/>
        <v>5.2238805970149252E-2</v>
      </c>
      <c r="AY13" s="763">
        <f t="shared" si="58"/>
        <v>0.15671641791044777</v>
      </c>
      <c r="AZ13" s="763">
        <f>J13/$C$13</f>
        <v>0.21641791044776118</v>
      </c>
      <c r="BA13" s="769">
        <f t="shared" si="16"/>
        <v>148</v>
      </c>
      <c r="BB13" s="692">
        <f t="shared" si="17"/>
        <v>39.761194029850749</v>
      </c>
      <c r="BC13" s="717">
        <f t="shared" si="18"/>
        <v>117537.30365948402</v>
      </c>
      <c r="BD13" s="692">
        <f t="shared" si="19"/>
        <v>76.208955223880608</v>
      </c>
      <c r="BE13" s="717">
        <f t="shared" si="20"/>
        <v>919282.78503099619</v>
      </c>
      <c r="BF13" s="692">
        <f t="shared" si="21"/>
        <v>32.029850746268657</v>
      </c>
      <c r="BG13" s="717">
        <f t="shared" si="22"/>
        <v>900578.0131259372</v>
      </c>
      <c r="BH13" s="717">
        <f t="shared" si="23"/>
        <v>1937398.1018164174</v>
      </c>
      <c r="BI13" s="717">
        <f>VLOOKUP(A13,'2526 Band Calculations'!$A$5:$U$22,21,(FALSE))</f>
        <v>1691743.2700658687</v>
      </c>
      <c r="BJ13" s="717">
        <f t="shared" si="24"/>
        <v>245654.83175054868</v>
      </c>
      <c r="BK13" s="692">
        <f>VLOOKUP(A13,'2526 Band Calculations'!$A$6:$U$21,11,(FALSE))</f>
        <v>51.177777777777777</v>
      </c>
      <c r="BL13" s="692">
        <f>VLOOKUP(A13,'2526 Band Calculations'!$A$6:$U$21,13,(FALSE))</f>
        <v>71.866666666666674</v>
      </c>
      <c r="BM13" s="692">
        <f>VLOOKUP(A13,'2526 Band Calculations'!$A$6:$U$21,15,(FALSE))</f>
        <v>23.955555555555556</v>
      </c>
      <c r="BN13" s="692">
        <f>BB13-BK13</f>
        <v>-11.416583747927028</v>
      </c>
      <c r="BO13" s="772">
        <f t="shared" si="26"/>
        <v>4.3422885572139336</v>
      </c>
      <c r="BP13" s="692">
        <f t="shared" si="27"/>
        <v>8.0742951907131015</v>
      </c>
      <c r="BQ13" s="692">
        <f t="shared" si="28"/>
        <v>1.0000000000000071</v>
      </c>
      <c r="BR13" s="717">
        <f t="shared" si="29"/>
        <v>1480000</v>
      </c>
      <c r="BS13" s="717">
        <f t="shared" si="30"/>
        <v>3420706.1018164176</v>
      </c>
      <c r="BT13" s="717">
        <f>VLOOKUP(A13,'2627 Funding Detail 2'!$A$4:$AD$19,30,(FALSE))</f>
        <v>3220722.9850746267</v>
      </c>
      <c r="BU13" s="717">
        <f t="shared" si="31"/>
        <v>199983.1167417909</v>
      </c>
      <c r="BV13" s="717">
        <f t="shared" si="32"/>
        <v>23112.879066327147</v>
      </c>
      <c r="BW13" s="717">
        <f t="shared" si="33"/>
        <v>21761.641791044774</v>
      </c>
      <c r="BX13" s="717">
        <f t="shared" si="34"/>
        <v>1351.2372752823721</v>
      </c>
      <c r="BY13" s="763">
        <f t="shared" si="35"/>
        <v>6.2092616368606232E-2</v>
      </c>
      <c r="BZ13" s="708">
        <f t="shared" si="36"/>
        <v>5.6046308184303117E-2</v>
      </c>
      <c r="CA13" s="707">
        <f t="shared" si="37"/>
        <v>-131.57759286506666</v>
      </c>
      <c r="CB13" s="717">
        <f t="shared" si="38"/>
        <v>-17631.397443918933</v>
      </c>
      <c r="CC13" s="717"/>
      <c r="CD13" s="717">
        <f>VLOOKUP(A13,'2526 Funding Comparisons'!$A$4:$AM$15,39,(FALSE))</f>
        <v>163140.60339920185</v>
      </c>
      <c r="CE13" s="717">
        <f t="shared" si="39"/>
        <v>36842.513342589053</v>
      </c>
      <c r="CG13" s="764">
        <f t="shared" si="40"/>
        <v>27616.753579456035</v>
      </c>
      <c r="CJ13" s="704">
        <f t="shared" si="41"/>
        <v>187960</v>
      </c>
      <c r="CK13" s="704">
        <f t="shared" si="42"/>
        <v>263144</v>
      </c>
      <c r="CL13" s="704">
        <f t="shared" si="43"/>
        <v>40700</v>
      </c>
      <c r="CM13" s="704">
        <f t="shared" si="44"/>
        <v>56980</v>
      </c>
      <c r="CN13" s="704">
        <f t="shared" si="45"/>
        <v>37295.594976281471</v>
      </c>
      <c r="CO13" s="704">
        <f t="shared" si="46"/>
        <v>52213.832966794056</v>
      </c>
      <c r="CP13" s="893">
        <f t="shared" si="47"/>
        <v>265955.59497628146</v>
      </c>
      <c r="CQ13" s="893">
        <f t="shared" si="48"/>
        <v>372337.83296679403</v>
      </c>
    </row>
    <row r="14" spans="1:95" x14ac:dyDescent="0.25">
      <c r="A14" s="688">
        <v>9257021</v>
      </c>
      <c r="B14" s="712" t="s">
        <v>346</v>
      </c>
      <c r="C14" s="690">
        <v>177</v>
      </c>
      <c r="D14" s="689">
        <v>18</v>
      </c>
      <c r="E14" s="689">
        <v>108</v>
      </c>
      <c r="F14" s="689">
        <v>15</v>
      </c>
      <c r="G14" s="689">
        <v>23</v>
      </c>
      <c r="H14" s="691">
        <v>4</v>
      </c>
      <c r="I14" s="689">
        <v>5</v>
      </c>
      <c r="J14" s="691">
        <v>4</v>
      </c>
      <c r="K14" s="697"/>
      <c r="L14" s="679">
        <v>180</v>
      </c>
      <c r="M14" s="679">
        <v>0</v>
      </c>
      <c r="N14" s="679">
        <f t="shared" si="1"/>
        <v>180</v>
      </c>
      <c r="O14" s="679">
        <v>180</v>
      </c>
      <c r="P14" s="679">
        <v>0</v>
      </c>
      <c r="Q14" s="679">
        <f t="shared" si="2"/>
        <v>180</v>
      </c>
      <c r="R14" s="679">
        <f t="shared" si="3"/>
        <v>0</v>
      </c>
      <c r="S14" s="891">
        <f t="shared" si="4"/>
        <v>180</v>
      </c>
      <c r="T14" s="701"/>
      <c r="U14" s="679">
        <v>2</v>
      </c>
      <c r="V14" s="702"/>
      <c r="W14" s="693">
        <f t="shared" si="49"/>
        <v>126</v>
      </c>
      <c r="X14" s="694">
        <f>W14*'2627 Summary'!$B$18</f>
        <v>289306.18524525681</v>
      </c>
      <c r="Y14" s="693">
        <f t="shared" si="50"/>
        <v>47</v>
      </c>
      <c r="Z14" s="694">
        <f>Y14*'2627 Summary'!$B$19</f>
        <v>535925.06268362841</v>
      </c>
      <c r="AA14" s="693">
        <f t="shared" si="5"/>
        <v>4</v>
      </c>
      <c r="AB14" s="695">
        <f>AA14*'2627 Summary'!$B$20</f>
        <v>109827.3380791012</v>
      </c>
      <c r="AC14" s="695">
        <f t="shared" si="51"/>
        <v>935058.58600798645</v>
      </c>
      <c r="AD14" s="537" t="s">
        <v>379</v>
      </c>
      <c r="AE14" s="537">
        <f t="shared" si="6"/>
        <v>0</v>
      </c>
      <c r="AF14" s="543" t="str">
        <f t="shared" si="7"/>
        <v>No</v>
      </c>
      <c r="AG14" s="535">
        <f t="shared" si="8"/>
        <v>0</v>
      </c>
      <c r="AH14" s="679">
        <v>116</v>
      </c>
      <c r="AI14" s="704">
        <f t="shared" si="9"/>
        <v>58580</v>
      </c>
      <c r="AJ14" s="710">
        <f>(E14*$AJ$2)*('2627 Summary'!$B$19-'2627 Summary'!$B$18)</f>
        <v>49175.532393565452</v>
      </c>
      <c r="AK14" s="716">
        <f t="shared" si="10"/>
        <v>5.4</v>
      </c>
      <c r="AL14" s="680" t="s">
        <v>844</v>
      </c>
      <c r="AM14" s="692">
        <f t="shared" si="11"/>
        <v>180</v>
      </c>
      <c r="AO14" s="704">
        <f t="shared" si="12"/>
        <v>548640</v>
      </c>
      <c r="AP14" s="704">
        <f t="shared" si="13"/>
        <v>118800</v>
      </c>
      <c r="AQ14" s="717">
        <f>VLOOKUP(A14,'2526 3.4% Allocations'!$1:$1048576,12,(FALSE))</f>
        <v>470.8864260480313</v>
      </c>
      <c r="AR14" s="717">
        <f t="shared" si="14"/>
        <v>84759.556688645636</v>
      </c>
      <c r="AT14" s="763">
        <f>D14/$C$14</f>
        <v>0.10169491525423729</v>
      </c>
      <c r="AU14" s="763">
        <f t="shared" ref="AU14:AZ14" si="59">E14/$C$14</f>
        <v>0.61016949152542377</v>
      </c>
      <c r="AV14" s="763">
        <f t="shared" si="59"/>
        <v>8.4745762711864403E-2</v>
      </c>
      <c r="AW14" s="763">
        <f t="shared" si="59"/>
        <v>0.12994350282485875</v>
      </c>
      <c r="AX14" s="763">
        <f t="shared" si="59"/>
        <v>2.2598870056497175E-2</v>
      </c>
      <c r="AY14" s="763">
        <f t="shared" si="59"/>
        <v>2.8248587570621469E-2</v>
      </c>
      <c r="AZ14" s="763">
        <f t="shared" si="59"/>
        <v>2.2598870056497175E-2</v>
      </c>
      <c r="BA14" s="769">
        <f t="shared" si="16"/>
        <v>180</v>
      </c>
      <c r="BB14" s="692">
        <f t="shared" si="17"/>
        <v>128.13559322033899</v>
      </c>
      <c r="BC14" s="717">
        <f t="shared" si="18"/>
        <v>378779.1714358544</v>
      </c>
      <c r="BD14" s="692">
        <f t="shared" si="19"/>
        <v>47.796610169491522</v>
      </c>
      <c r="BE14" s="717">
        <f t="shared" si="20"/>
        <v>576554.30103419838</v>
      </c>
      <c r="BF14" s="692">
        <f t="shared" si="21"/>
        <v>4.0677966101694913</v>
      </c>
      <c r="BG14" s="717">
        <f t="shared" si="22"/>
        <v>114373.56414823851</v>
      </c>
      <c r="BH14" s="717">
        <f t="shared" si="23"/>
        <v>1069707.0366182914</v>
      </c>
      <c r="BI14" s="717">
        <f>VLOOKUP(A14,'2526 Band Calculations'!$A$5:$U$22,21,(FALSE))</f>
        <v>988065.13329897064</v>
      </c>
      <c r="BJ14" s="717">
        <f t="shared" si="24"/>
        <v>81641.903319320758</v>
      </c>
      <c r="BK14" s="692">
        <f>VLOOKUP(A14,'2526 Band Calculations'!$A$6:$U$21,11,(FALSE))</f>
        <v>135.52941176470588</v>
      </c>
      <c r="BL14" s="692">
        <f>VLOOKUP(A14,'2526 Band Calculations'!$A$6:$U$21,13,(FALSE))</f>
        <v>41.294117647058826</v>
      </c>
      <c r="BM14" s="692">
        <f>VLOOKUP(A14,'2526 Band Calculations'!$A$6:$U$21,15,(FALSE))</f>
        <v>3.1764705882352939</v>
      </c>
      <c r="BN14" s="692">
        <f t="shared" si="25"/>
        <v>-7.3938185443668942</v>
      </c>
      <c r="BO14" s="772">
        <f t="shared" si="26"/>
        <v>6.5024925224326964</v>
      </c>
      <c r="BP14" s="692">
        <f t="shared" si="27"/>
        <v>0.89132602193419741</v>
      </c>
      <c r="BQ14" s="692">
        <f t="shared" si="28"/>
        <v>0</v>
      </c>
      <c r="BR14" s="717">
        <f t="shared" si="29"/>
        <v>1800000</v>
      </c>
      <c r="BS14" s="717">
        <f t="shared" si="30"/>
        <v>2869707.0366182914</v>
      </c>
      <c r="BT14" s="717">
        <f>VLOOKUP(A14,'2627 Funding Detail 2'!$A$4:$AD$19,30,(FALSE))</f>
        <v>2665962.220338983</v>
      </c>
      <c r="BU14" s="717">
        <f t="shared" si="31"/>
        <v>203744.8162793084</v>
      </c>
      <c r="BV14" s="717">
        <f t="shared" si="32"/>
        <v>15942.816870101618</v>
      </c>
      <c r="BW14" s="717">
        <f t="shared" si="33"/>
        <v>14810.901224105461</v>
      </c>
      <c r="BX14" s="717">
        <f t="shared" si="34"/>
        <v>1131.9156459961578</v>
      </c>
      <c r="BY14" s="763">
        <f t="shared" si="35"/>
        <v>7.6424494962798753E-2</v>
      </c>
      <c r="BZ14" s="708">
        <f t="shared" si="36"/>
        <v>6.3212247481399378E-2</v>
      </c>
      <c r="CA14" s="707">
        <f t="shared" si="37"/>
        <v>-195.68529239544227</v>
      </c>
      <c r="CB14" s="717">
        <f t="shared" si="38"/>
        <v>-34636.29675399328</v>
      </c>
      <c r="CC14" s="717"/>
      <c r="CD14" s="717">
        <f>VLOOKUP(A14,'2526 Funding Comparisons'!$A$4:$AM$15,39,(FALSE))</f>
        <v>264503.25094602921</v>
      </c>
      <c r="CE14" s="717">
        <f t="shared" si="39"/>
        <v>-60758.434666720801</v>
      </c>
      <c r="CG14" s="764">
        <f t="shared" si="40"/>
        <v>20447.147740594093</v>
      </c>
      <c r="CJ14" s="704">
        <f t="shared" si="41"/>
        <v>228600</v>
      </c>
      <c r="CK14" s="704">
        <f t="shared" si="42"/>
        <v>320040</v>
      </c>
      <c r="CL14" s="704">
        <f t="shared" si="43"/>
        <v>49500</v>
      </c>
      <c r="CM14" s="704">
        <f t="shared" si="44"/>
        <v>69300</v>
      </c>
      <c r="CN14" s="704">
        <f t="shared" si="45"/>
        <v>35316.48195360235</v>
      </c>
      <c r="CO14" s="704">
        <f t="shared" si="46"/>
        <v>49443.074735043287</v>
      </c>
      <c r="CP14" s="893">
        <f t="shared" si="47"/>
        <v>313416.48195360234</v>
      </c>
      <c r="CQ14" s="893">
        <f t="shared" si="48"/>
        <v>438783.07473504328</v>
      </c>
    </row>
    <row r="15" spans="1:95" x14ac:dyDescent="0.25">
      <c r="A15" s="688">
        <v>9257015</v>
      </c>
      <c r="B15" s="712" t="s">
        <v>818</v>
      </c>
      <c r="C15" s="690">
        <v>320</v>
      </c>
      <c r="D15" s="689">
        <v>5</v>
      </c>
      <c r="E15" s="689">
        <v>98</v>
      </c>
      <c r="F15" s="689">
        <v>4</v>
      </c>
      <c r="G15" s="689">
        <v>115</v>
      </c>
      <c r="H15" s="691">
        <v>6</v>
      </c>
      <c r="I15" s="800">
        <f>78-7</f>
        <v>71</v>
      </c>
      <c r="J15" s="799">
        <f>14+7</f>
        <v>21</v>
      </c>
      <c r="K15" s="697"/>
      <c r="L15" s="679">
        <v>281</v>
      </c>
      <c r="M15" s="679">
        <v>39</v>
      </c>
      <c r="N15" s="679">
        <f t="shared" si="1"/>
        <v>320</v>
      </c>
      <c r="O15" s="679">
        <v>281</v>
      </c>
      <c r="P15" s="679">
        <v>39</v>
      </c>
      <c r="Q15" s="679">
        <f t="shared" si="2"/>
        <v>320</v>
      </c>
      <c r="R15" s="679">
        <f t="shared" si="3"/>
        <v>0</v>
      </c>
      <c r="S15" s="558">
        <f t="shared" si="4"/>
        <v>320</v>
      </c>
      <c r="T15" s="701"/>
      <c r="U15" s="679">
        <v>3</v>
      </c>
      <c r="V15" s="702"/>
      <c r="W15" s="693">
        <f t="shared" si="49"/>
        <v>103</v>
      </c>
      <c r="X15" s="694">
        <f>W15*'2627 Summary'!$B$18</f>
        <v>236496.32603382104</v>
      </c>
      <c r="Y15" s="693">
        <f t="shared" si="50"/>
        <v>196</v>
      </c>
      <c r="Z15" s="694">
        <f>Y15*'2627 Summary'!$B$19</f>
        <v>2234921.537999812</v>
      </c>
      <c r="AA15" s="693">
        <f t="shared" si="5"/>
        <v>21</v>
      </c>
      <c r="AB15" s="695">
        <f>AA15*'2627 Summary'!$B$20</f>
        <v>576593.52491528133</v>
      </c>
      <c r="AC15" s="695">
        <f t="shared" si="51"/>
        <v>3048011.3889489141</v>
      </c>
      <c r="AD15" s="537" t="s">
        <v>380</v>
      </c>
      <c r="AE15" s="537">
        <f t="shared" si="6"/>
        <v>82700</v>
      </c>
      <c r="AF15" s="543" t="str">
        <f t="shared" si="7"/>
        <v>No</v>
      </c>
      <c r="AG15" s="535">
        <f t="shared" si="8"/>
        <v>0</v>
      </c>
      <c r="AH15" s="679">
        <v>158</v>
      </c>
      <c r="AI15" s="704">
        <f t="shared" si="9"/>
        <v>79790</v>
      </c>
      <c r="AJ15" s="710">
        <f>(E15*$AJ$2)*('2627 Summary'!$B$19-'2627 Summary'!$B$18)</f>
        <v>44622.242357124211</v>
      </c>
      <c r="AK15" s="716">
        <f t="shared" si="10"/>
        <v>4.9000000000000004</v>
      </c>
      <c r="AL15" s="680" t="s">
        <v>844</v>
      </c>
      <c r="AM15" s="692">
        <f t="shared" si="11"/>
        <v>320</v>
      </c>
      <c r="AO15" s="704">
        <f t="shared" si="12"/>
        <v>975360</v>
      </c>
      <c r="AP15" s="704">
        <f t="shared" si="13"/>
        <v>211200</v>
      </c>
      <c r="AQ15" s="717">
        <f>VLOOKUP(A15,'2526 3.4% Allocations'!$1:$1048576,12,(FALSE))</f>
        <v>465.04161522540056</v>
      </c>
      <c r="AR15" s="717">
        <f t="shared" si="14"/>
        <v>148813.31687212817</v>
      </c>
      <c r="AT15" s="763">
        <f>D15/$C$15</f>
        <v>1.5625E-2</v>
      </c>
      <c r="AU15" s="763">
        <f t="shared" ref="AU15:AZ15" si="60">E15/$C$15</f>
        <v>0.30625000000000002</v>
      </c>
      <c r="AV15" s="763">
        <f t="shared" si="60"/>
        <v>1.2500000000000001E-2</v>
      </c>
      <c r="AW15" s="763">
        <f t="shared" si="60"/>
        <v>0.359375</v>
      </c>
      <c r="AX15" s="763">
        <f t="shared" si="60"/>
        <v>1.8749999999999999E-2</v>
      </c>
      <c r="AY15" s="763">
        <f t="shared" si="60"/>
        <v>0.22187499999999999</v>
      </c>
      <c r="AZ15" s="763">
        <f t="shared" si="60"/>
        <v>6.5625000000000003E-2</v>
      </c>
      <c r="BA15" s="769">
        <f t="shared" si="16"/>
        <v>320</v>
      </c>
      <c r="BB15" s="692">
        <f t="shared" si="17"/>
        <v>103</v>
      </c>
      <c r="BC15" s="717">
        <f>BB15*$BB$3</f>
        <v>304476.32603382104</v>
      </c>
      <c r="BD15" s="692">
        <f t="shared" si="19"/>
        <v>196</v>
      </c>
      <c r="BE15" s="717">
        <f t="shared" si="20"/>
        <v>2364281.537999812</v>
      </c>
      <c r="BF15" s="692">
        <f t="shared" si="21"/>
        <v>21</v>
      </c>
      <c r="BG15" s="717">
        <f t="shared" si="22"/>
        <v>590453.52491528133</v>
      </c>
      <c r="BH15" s="717">
        <f>BC15+BE15+BG15</f>
        <v>3259211.3889489141</v>
      </c>
      <c r="BI15" s="717">
        <f>VLOOKUP(A15,'2526 Band Calculations'!$A$5:$U$22,21,(FALSE))</f>
        <v>3173369.8703853777</v>
      </c>
      <c r="BJ15" s="717">
        <f t="shared" si="24"/>
        <v>85841.518563536461</v>
      </c>
      <c r="BK15" s="692">
        <f>VLOOKUP(A15,'2526 Band Calculations'!$A$6:$U$21,11,(FALSE))</f>
        <v>100.36506622516558</v>
      </c>
      <c r="BL15" s="692">
        <f>VLOOKUP(A15,'2526 Band Calculations'!$A$6:$U$21,13,(FALSE))</f>
        <v>215.83885209713029</v>
      </c>
      <c r="BM15" s="692">
        <f>VLOOKUP(A15,'2526 Band Calculations'!$A$6:$U$21,15,(FALSE))</f>
        <v>9.712748344370862</v>
      </c>
      <c r="BN15" s="692">
        <f t="shared" si="25"/>
        <v>2.6349337748344226</v>
      </c>
      <c r="BO15" s="692">
        <f t="shared" si="26"/>
        <v>-19.838852097130285</v>
      </c>
      <c r="BP15" s="692">
        <f t="shared" si="27"/>
        <v>11.287251655629138</v>
      </c>
      <c r="BQ15" s="692">
        <f t="shared" si="28"/>
        <v>-5.9166666666667247</v>
      </c>
      <c r="BR15" s="717">
        <f t="shared" si="29"/>
        <v>3200000</v>
      </c>
      <c r="BS15" s="717">
        <f t="shared" si="30"/>
        <v>6541911.3889489137</v>
      </c>
      <c r="BT15" s="717">
        <f>VLOOKUP(A15,'2627 Funding Detail 2'!$A$4:$AD$19,30,(FALSE))</f>
        <v>6182543</v>
      </c>
      <c r="BU15" s="717">
        <f t="shared" si="31"/>
        <v>359368.38894891366</v>
      </c>
      <c r="BV15" s="717">
        <f t="shared" si="32"/>
        <v>20443.473090465355</v>
      </c>
      <c r="BW15" s="717">
        <f>BT15/BA15</f>
        <v>19320.446875000001</v>
      </c>
      <c r="BX15" s="717">
        <f t="shared" si="34"/>
        <v>1123.0262154653537</v>
      </c>
      <c r="BY15" s="763">
        <f t="shared" si="35"/>
        <v>5.8126306432306769E-2</v>
      </c>
      <c r="BZ15" s="708">
        <f t="shared" si="36"/>
        <v>5.406315321615339E-2</v>
      </c>
      <c r="CA15" s="707">
        <f t="shared" si="37"/>
        <v>-78.501935857676699</v>
      </c>
      <c r="CB15" s="717">
        <f t="shared" si="38"/>
        <v>-25120.619474456544</v>
      </c>
      <c r="CC15" s="717"/>
      <c r="CD15" s="717">
        <f>VLOOKUP(A15,'2526 Funding Comparisons'!$A$4:$AM$15,39,(FALSE))</f>
        <v>294672.90377389843</v>
      </c>
      <c r="CE15" s="717">
        <f t="shared" si="39"/>
        <v>64695.48517501523</v>
      </c>
      <c r="CG15" s="764">
        <f>BV15+(AI15/S15)+$AO$2+$AP$2+AQ15</f>
        <v>24865.858455690755</v>
      </c>
      <c r="CJ15" s="704">
        <f t="shared" si="41"/>
        <v>406400</v>
      </c>
      <c r="CK15" s="704">
        <f t="shared" si="42"/>
        <v>568960</v>
      </c>
      <c r="CL15" s="704">
        <f t="shared" si="43"/>
        <v>88000</v>
      </c>
      <c r="CM15" s="704">
        <f t="shared" si="44"/>
        <v>123200</v>
      </c>
      <c r="CN15" s="704">
        <f t="shared" si="45"/>
        <v>62005.548696720078</v>
      </c>
      <c r="CO15" s="704">
        <f t="shared" si="46"/>
        <v>86807.768175408099</v>
      </c>
      <c r="CP15" s="893">
        <f t="shared" si="47"/>
        <v>556405.54869672004</v>
      </c>
      <c r="CQ15" s="893">
        <f t="shared" si="48"/>
        <v>778967.76817540813</v>
      </c>
    </row>
    <row r="16" spans="1:95" x14ac:dyDescent="0.25">
      <c r="A16" s="688">
        <v>9257016</v>
      </c>
      <c r="B16" s="712" t="s">
        <v>817</v>
      </c>
      <c r="C16" s="690">
        <v>171</v>
      </c>
      <c r="D16" s="689">
        <v>0</v>
      </c>
      <c r="E16" s="689">
        <v>6</v>
      </c>
      <c r="F16" s="689">
        <v>1</v>
      </c>
      <c r="G16" s="689">
        <v>52</v>
      </c>
      <c r="H16" s="691">
        <v>26</v>
      </c>
      <c r="I16" s="689">
        <v>9</v>
      </c>
      <c r="J16" s="691">
        <v>77</v>
      </c>
      <c r="K16" s="697"/>
      <c r="L16" s="679">
        <v>132</v>
      </c>
      <c r="M16" s="679">
        <v>44</v>
      </c>
      <c r="N16" s="679">
        <f t="shared" si="1"/>
        <v>176</v>
      </c>
      <c r="O16" s="679">
        <v>132</v>
      </c>
      <c r="P16" s="679">
        <v>44</v>
      </c>
      <c r="Q16" s="679">
        <f t="shared" si="2"/>
        <v>176</v>
      </c>
      <c r="R16" s="679">
        <f t="shared" si="3"/>
        <v>0</v>
      </c>
      <c r="S16" s="558">
        <f t="shared" si="4"/>
        <v>176</v>
      </c>
      <c r="T16" s="701"/>
      <c r="U16" s="679">
        <v>5</v>
      </c>
      <c r="V16" s="702"/>
      <c r="W16" s="693">
        <f t="shared" si="49"/>
        <v>6</v>
      </c>
      <c r="X16" s="694">
        <f>W16*'2627 Summary'!$B$18</f>
        <v>13776.485011678895</v>
      </c>
      <c r="Y16" s="693">
        <f t="shared" si="50"/>
        <v>88</v>
      </c>
      <c r="Z16" s="694">
        <f>Y16*'2627 Summary'!$B$19</f>
        <v>1003434.159918283</v>
      </c>
      <c r="AA16" s="693">
        <f t="shared" si="5"/>
        <v>77</v>
      </c>
      <c r="AB16" s="695">
        <f>AA16*'2627 Summary'!$B$20</f>
        <v>2114176.2580226981</v>
      </c>
      <c r="AC16" s="695">
        <f t="shared" si="51"/>
        <v>3131386.9029526599</v>
      </c>
      <c r="AD16" s="537" t="s">
        <v>379</v>
      </c>
      <c r="AE16" s="537">
        <f t="shared" si="6"/>
        <v>0</v>
      </c>
      <c r="AF16" s="543" t="str">
        <f t="shared" si="7"/>
        <v>No</v>
      </c>
      <c r="AG16" s="535">
        <f t="shared" si="8"/>
        <v>0</v>
      </c>
      <c r="AH16" s="679">
        <v>103</v>
      </c>
      <c r="AI16" s="704">
        <f t="shared" si="9"/>
        <v>52015</v>
      </c>
      <c r="AJ16" s="710">
        <f>(E16*$AJ$2)*('2627 Summary'!$B$19-'2627 Summary'!$B$18)</f>
        <v>2731.9740218647476</v>
      </c>
      <c r="AK16" s="716">
        <f t="shared" si="10"/>
        <v>0.30000000000000004</v>
      </c>
      <c r="AL16" s="680" t="s">
        <v>844</v>
      </c>
      <c r="AM16" s="692">
        <f t="shared" si="11"/>
        <v>176</v>
      </c>
      <c r="AO16" s="704">
        <f t="shared" si="12"/>
        <v>536448</v>
      </c>
      <c r="AP16" s="704">
        <f t="shared" si="13"/>
        <v>116160</v>
      </c>
      <c r="AQ16" s="717">
        <f>VLOOKUP(A16,'2526 3.4% Allocations'!$1:$1048576,12,(FALSE))</f>
        <v>666.41982384067296</v>
      </c>
      <c r="AR16" s="717">
        <f t="shared" si="14"/>
        <v>117289.88899595843</v>
      </c>
      <c r="AT16" s="763">
        <f>D16/$C$16</f>
        <v>0</v>
      </c>
      <c r="AU16" s="763">
        <f t="shared" ref="AU16:AZ16" si="61">E16/$C$16</f>
        <v>3.5087719298245612E-2</v>
      </c>
      <c r="AV16" s="763">
        <f t="shared" si="61"/>
        <v>5.8479532163742687E-3</v>
      </c>
      <c r="AW16" s="763">
        <f t="shared" si="61"/>
        <v>0.30409356725146197</v>
      </c>
      <c r="AX16" s="763">
        <f t="shared" si="61"/>
        <v>0.15204678362573099</v>
      </c>
      <c r="AY16" s="763">
        <f t="shared" si="61"/>
        <v>5.2631578947368418E-2</v>
      </c>
      <c r="AZ16" s="763">
        <f t="shared" si="61"/>
        <v>0.45029239766081869</v>
      </c>
      <c r="BA16" s="769">
        <f t="shared" si="16"/>
        <v>176</v>
      </c>
      <c r="BB16" s="692">
        <f t="shared" si="17"/>
        <v>6.1754385964912277</v>
      </c>
      <c r="BC16" s="717">
        <f t="shared" si="18"/>
        <v>18255.095684535001</v>
      </c>
      <c r="BD16" s="692">
        <f t="shared" si="19"/>
        <v>90.573099415204666</v>
      </c>
      <c r="BE16" s="717">
        <f t="shared" si="20"/>
        <v>1092552.5856468875</v>
      </c>
      <c r="BF16" s="692">
        <f t="shared" si="21"/>
        <v>79.251461988304087</v>
      </c>
      <c r="BG16" s="717">
        <f t="shared" si="22"/>
        <v>2228300.2421754086</v>
      </c>
      <c r="BH16" s="717">
        <f t="shared" si="23"/>
        <v>3339107.9235068313</v>
      </c>
      <c r="BI16" s="717">
        <f>VLOOKUP(A16,'2526 Band Calculations'!$A$5:$U$22,21,(FALSE))</f>
        <v>3173268.5613242714</v>
      </c>
      <c r="BJ16" s="717">
        <f t="shared" si="24"/>
        <v>165839.36218255991</v>
      </c>
      <c r="BK16" s="692">
        <f>VLOOKUP(A16,'2526 Band Calculations'!$A$6:$U$21,11,(FALSE))</f>
        <v>11.953488372093023</v>
      </c>
      <c r="BL16" s="692">
        <f>VLOOKUP(A16,'2526 Band Calculations'!$A$6:$U$21,13,(FALSE))</f>
        <v>83.674418604651166</v>
      </c>
      <c r="BM16" s="692">
        <f>VLOOKUP(A16,'2526 Band Calculations'!$A$6:$U$21,15,(FALSE))</f>
        <v>75.705426356589157</v>
      </c>
      <c r="BN16" s="692">
        <f t="shared" si="25"/>
        <v>-5.7780497756017954</v>
      </c>
      <c r="BO16" s="772">
        <f t="shared" si="26"/>
        <v>6.8986808105535005</v>
      </c>
      <c r="BP16" s="692">
        <f t="shared" si="27"/>
        <v>3.5460356317149291</v>
      </c>
      <c r="BQ16" s="692">
        <f t="shared" si="28"/>
        <v>4.6666666666666341</v>
      </c>
      <c r="BR16" s="717">
        <f t="shared" si="29"/>
        <v>1760000</v>
      </c>
      <c r="BS16" s="717">
        <f>BR16+BH16+AE16+AG16</f>
        <v>5099107.9235068318</v>
      </c>
      <c r="BT16" s="717">
        <f>VLOOKUP(A16,'2627 Funding Detail 2'!$A$4:$AD$19,30,(FALSE))</f>
        <v>4601675.9005847946</v>
      </c>
      <c r="BU16" s="717">
        <f t="shared" si="31"/>
        <v>497432.02292203717</v>
      </c>
      <c r="BV16" s="717">
        <f>BS16/BA16</f>
        <v>28972.204110834271</v>
      </c>
      <c r="BW16" s="717">
        <f t="shared" si="33"/>
        <v>26145.885798777243</v>
      </c>
      <c r="BX16" s="717">
        <f t="shared" si="34"/>
        <v>2826.3183120570284</v>
      </c>
      <c r="BY16" s="763">
        <f>BX16/BW16</f>
        <v>0.10809801334744627</v>
      </c>
      <c r="BZ16" s="708">
        <f t="shared" si="36"/>
        <v>7.9049006673723138E-2</v>
      </c>
      <c r="CA16" s="707">
        <f t="shared" si="37"/>
        <v>-759.51201105908331</v>
      </c>
      <c r="CB16" s="717">
        <f t="shared" si="38"/>
        <v>-129876.55389110325</v>
      </c>
      <c r="CC16" s="717"/>
      <c r="CD16" s="717">
        <f>VLOOKUP(A16,'2526 Funding Comparisons'!$A$4:$AM$15,39,(FALSE))</f>
        <v>442345.78613047302</v>
      </c>
      <c r="CE16" s="717">
        <f t="shared" si="39"/>
        <v>55086.236791564152</v>
      </c>
      <c r="CG16" s="764">
        <f>BV16+(AI16/S16)+$AO$2+$AP$2+AQ16</f>
        <v>33642.163707402222</v>
      </c>
      <c r="CJ16" s="704">
        <f t="shared" si="41"/>
        <v>223520</v>
      </c>
      <c r="CK16" s="704">
        <f t="shared" si="42"/>
        <v>312928</v>
      </c>
      <c r="CL16" s="704">
        <f t="shared" si="43"/>
        <v>48400</v>
      </c>
      <c r="CM16" s="704">
        <f t="shared" si="44"/>
        <v>67760</v>
      </c>
      <c r="CN16" s="704">
        <f t="shared" si="45"/>
        <v>48870.787081649345</v>
      </c>
      <c r="CO16" s="704">
        <f t="shared" si="46"/>
        <v>68419.101914309096</v>
      </c>
      <c r="CP16" s="893">
        <f t="shared" si="47"/>
        <v>320790.78708164935</v>
      </c>
      <c r="CQ16" s="893">
        <f t="shared" si="48"/>
        <v>449107.10191430908</v>
      </c>
    </row>
    <row r="17" spans="1:95" x14ac:dyDescent="0.25">
      <c r="A17" s="688">
        <v>9257031</v>
      </c>
      <c r="B17" s="712" t="s">
        <v>356</v>
      </c>
      <c r="C17" s="690">
        <v>68</v>
      </c>
      <c r="D17" s="689">
        <v>0</v>
      </c>
      <c r="E17" s="689">
        <v>0</v>
      </c>
      <c r="F17" s="892">
        <f>68-3</f>
        <v>65</v>
      </c>
      <c r="G17" s="689">
        <v>0</v>
      </c>
      <c r="H17" s="691">
        <v>0</v>
      </c>
      <c r="I17" s="689">
        <v>0</v>
      </c>
      <c r="J17" s="801">
        <f>0+3</f>
        <v>3</v>
      </c>
      <c r="K17" s="697"/>
      <c r="L17" s="679">
        <v>81</v>
      </c>
      <c r="M17" s="679">
        <v>0</v>
      </c>
      <c r="N17" s="679">
        <f>SUM(L17:M17)</f>
        <v>81</v>
      </c>
      <c r="O17" s="679">
        <v>81</v>
      </c>
      <c r="P17" s="679">
        <v>0</v>
      </c>
      <c r="Q17" s="679">
        <f>SUM(O17:P17)</f>
        <v>81</v>
      </c>
      <c r="R17" s="679">
        <f>Q17-N17</f>
        <v>0</v>
      </c>
      <c r="S17" s="558">
        <f t="shared" si="4"/>
        <v>81</v>
      </c>
      <c r="T17" s="702"/>
      <c r="U17" s="679">
        <v>11</v>
      </c>
      <c r="V17" s="702"/>
      <c r="W17" s="693">
        <f t="shared" ref="W17:W20" si="62">SUM(D17:E17)</f>
        <v>0</v>
      </c>
      <c r="X17" s="694">
        <f>W17*'2627 Summary'!$B$34</f>
        <v>0</v>
      </c>
      <c r="Y17" s="693">
        <f t="shared" ref="Y17:Y20" si="63">SUM(F17:I17)</f>
        <v>65</v>
      </c>
      <c r="Z17" s="694">
        <f>Y17*'2627 Summary'!$B$35</f>
        <v>927519.6288851212</v>
      </c>
      <c r="AA17" s="693">
        <f t="shared" ref="AA17:AA20" si="64">SUM(J17)</f>
        <v>3</v>
      </c>
      <c r="AB17" s="695">
        <f>AA17*'2627 Summary'!$B$36</f>
        <v>90712.767080128513</v>
      </c>
      <c r="AC17" s="695">
        <f t="shared" ref="AC17:AC20" si="65">X17+Z17+AB17</f>
        <v>1018232.3959652497</v>
      </c>
      <c r="AD17" s="537" t="s">
        <v>379</v>
      </c>
      <c r="AE17" s="537">
        <f t="shared" si="6"/>
        <v>0</v>
      </c>
      <c r="AF17" s="543"/>
      <c r="AG17" s="535"/>
      <c r="AH17" s="679">
        <v>50</v>
      </c>
      <c r="AI17" s="704">
        <f t="shared" si="9"/>
        <v>25250</v>
      </c>
      <c r="AJ17" s="710">
        <f>(E17*$AJ$2)*('2627 Summary'!$B$19-'2627 Summary'!$B$18)</f>
        <v>0</v>
      </c>
      <c r="AK17" s="716">
        <f t="shared" si="10"/>
        <v>0</v>
      </c>
      <c r="AL17" s="680" t="s">
        <v>845</v>
      </c>
      <c r="AM17" s="692">
        <f t="shared" si="11"/>
        <v>81</v>
      </c>
      <c r="AN17" s="707">
        <v>247857</v>
      </c>
      <c r="AO17" s="704">
        <f t="shared" si="12"/>
        <v>246888</v>
      </c>
      <c r="AP17" s="704">
        <f t="shared" si="13"/>
        <v>53460</v>
      </c>
      <c r="AQ17" s="717">
        <f>VLOOKUP(A17,'2526 3.4% Allocations'!$1:$1048576,12,(FALSE))</f>
        <v>753.8091486637037</v>
      </c>
      <c r="AR17" s="717">
        <f t="shared" si="14"/>
        <v>61058.54104176</v>
      </c>
      <c r="AT17" s="763">
        <f>D17/$C$17</f>
        <v>0</v>
      </c>
      <c r="AU17" s="763">
        <f t="shared" ref="AU17:AZ17" si="66">E17/$C$17</f>
        <v>0</v>
      </c>
      <c r="AV17" s="763">
        <f t="shared" si="66"/>
        <v>0.95588235294117652</v>
      </c>
      <c r="AW17" s="763">
        <f t="shared" si="66"/>
        <v>0</v>
      </c>
      <c r="AX17" s="763">
        <f t="shared" si="66"/>
        <v>0</v>
      </c>
      <c r="AY17" s="763">
        <f t="shared" si="66"/>
        <v>0</v>
      </c>
      <c r="AZ17" s="763">
        <f t="shared" si="66"/>
        <v>4.4117647058823532E-2</v>
      </c>
      <c r="BA17" s="769">
        <f t="shared" si="16"/>
        <v>81</v>
      </c>
      <c r="BB17" s="692">
        <f t="shared" si="17"/>
        <v>0</v>
      </c>
      <c r="BC17" s="717">
        <f>BB17*$BB$2</f>
        <v>0</v>
      </c>
      <c r="BD17" s="770">
        <f t="shared" si="19"/>
        <v>77.426470588235304</v>
      </c>
      <c r="BE17" s="717">
        <f>BD17*$BD$2</f>
        <v>1155941.0285249238</v>
      </c>
      <c r="BF17" s="692">
        <f t="shared" si="21"/>
        <v>3.5735294117647061</v>
      </c>
      <c r="BG17" s="717">
        <f>BF17*$BF$2</f>
        <v>110413.44313956484</v>
      </c>
      <c r="BH17" s="717">
        <f t="shared" si="23"/>
        <v>1266354.4716644888</v>
      </c>
      <c r="BI17" s="717">
        <f>VLOOKUP(A17,'2526 Band Calculations (2)'!$A$6:$U$22,21,(FALSE))</f>
        <v>1203071.5142716824</v>
      </c>
      <c r="BJ17" s="717">
        <f t="shared" si="24"/>
        <v>63282.95739280642</v>
      </c>
      <c r="BK17" s="692">
        <f>VLOOKUP(A17,'2526 Band Calculations'!$A$6:$U$21,11,(FALSE))</f>
        <v>0</v>
      </c>
      <c r="BL17" s="692">
        <f>VLOOKUP(A17,'2526 Band Calculations'!$A$6:$U$21,13,(FALSE))</f>
        <v>80.583333333333343</v>
      </c>
      <c r="BM17" s="692">
        <f>VLOOKUP(A17,'2526 Band Calculations'!$A$6:$U$21,15,(FALSE))</f>
        <v>0</v>
      </c>
      <c r="BN17" s="692">
        <f t="shared" si="25"/>
        <v>0</v>
      </c>
      <c r="BO17" s="692">
        <f t="shared" si="26"/>
        <v>-3.1568627450980387</v>
      </c>
      <c r="BP17" s="692">
        <f t="shared" si="27"/>
        <v>3.5735294117647061</v>
      </c>
      <c r="BQ17" s="692">
        <f t="shared" si="28"/>
        <v>0.41666666666666741</v>
      </c>
      <c r="BR17" s="717">
        <f t="shared" si="29"/>
        <v>810000</v>
      </c>
      <c r="BS17" s="717">
        <f t="shared" si="30"/>
        <v>2076354.4716644888</v>
      </c>
      <c r="BT17" s="717">
        <f>VLOOKUP(A17,'2627 Funding Detail 2'!$A$4:$AD$19,30,(FALSE))</f>
        <v>1871588.8088235296</v>
      </c>
      <c r="BU17" s="717">
        <f t="shared" si="31"/>
        <v>204765.66284095915</v>
      </c>
      <c r="BV17" s="717">
        <f t="shared" si="32"/>
        <v>25634.005823018379</v>
      </c>
      <c r="BW17" s="717">
        <f t="shared" si="33"/>
        <v>23106.0346768337</v>
      </c>
      <c r="BX17" s="717">
        <f t="shared" si="34"/>
        <v>2527.9711461846782</v>
      </c>
      <c r="BY17" s="763">
        <f t="shared" si="35"/>
        <v>0.10940739860999356</v>
      </c>
      <c r="BZ17" s="708">
        <f t="shared" si="36"/>
        <v>7.9703699304996781E-2</v>
      </c>
      <c r="CA17" s="707">
        <f t="shared" si="37"/>
        <v>-686.33470617149646</v>
      </c>
      <c r="CB17" s="717">
        <f t="shared" si="38"/>
        <v>-46670.760019661757</v>
      </c>
      <c r="CC17" s="717"/>
      <c r="CD17" s="717">
        <f>VLOOKUP(A17,'2526 Funding Comparisons'!$A$33:$AN$36,40,(FALSE))</f>
        <v>179636.09760501591</v>
      </c>
      <c r="CE17" s="717">
        <f t="shared" si="39"/>
        <v>25129.565235943242</v>
      </c>
      <c r="CG17" s="764">
        <f t="shared" si="40"/>
        <v>30407.543366743808</v>
      </c>
      <c r="CJ17" s="704">
        <f t="shared" si="41"/>
        <v>102870</v>
      </c>
      <c r="CK17" s="704">
        <f t="shared" si="42"/>
        <v>144018</v>
      </c>
      <c r="CL17" s="704">
        <f t="shared" si="43"/>
        <v>22275</v>
      </c>
      <c r="CM17" s="704">
        <f t="shared" si="44"/>
        <v>31185</v>
      </c>
      <c r="CN17" s="704">
        <f t="shared" si="45"/>
        <v>25441.058767399998</v>
      </c>
      <c r="CO17" s="704">
        <f t="shared" si="46"/>
        <v>35617.482274360002</v>
      </c>
      <c r="CP17" s="893">
        <f t="shared" si="47"/>
        <v>150586.05876739998</v>
      </c>
      <c r="CQ17" s="893">
        <f t="shared" si="48"/>
        <v>210820.48227435999</v>
      </c>
    </row>
    <row r="18" spans="1:95" ht="25" x14ac:dyDescent="0.25">
      <c r="A18" s="688">
        <v>9257029</v>
      </c>
      <c r="B18" s="713" t="s">
        <v>302</v>
      </c>
      <c r="C18" s="690">
        <v>67</v>
      </c>
      <c r="D18" s="689">
        <v>0</v>
      </c>
      <c r="E18" s="689">
        <v>0</v>
      </c>
      <c r="F18" s="689">
        <f>67-3</f>
        <v>64</v>
      </c>
      <c r="G18" s="689">
        <v>0</v>
      </c>
      <c r="H18" s="691">
        <v>0</v>
      </c>
      <c r="I18" s="689">
        <v>0</v>
      </c>
      <c r="J18" s="691">
        <f>0+3</f>
        <v>3</v>
      </c>
      <c r="K18" s="697"/>
      <c r="L18" s="679">
        <v>82</v>
      </c>
      <c r="M18" s="679">
        <v>0</v>
      </c>
      <c r="N18" s="679">
        <f t="shared" ref="N18:N20" si="67">SUM(L18:M18)</f>
        <v>82</v>
      </c>
      <c r="O18" s="679">
        <v>82</v>
      </c>
      <c r="P18" s="679">
        <v>0</v>
      </c>
      <c r="Q18" s="679">
        <f t="shared" ref="Q18:Q20" si="68">SUM(O18:P18)</f>
        <v>82</v>
      </c>
      <c r="R18" s="679">
        <f t="shared" ref="R18:R20" si="69">Q18-N18</f>
        <v>0</v>
      </c>
      <c r="S18" s="891">
        <f t="shared" si="4"/>
        <v>82</v>
      </c>
      <c r="T18" s="702"/>
      <c r="U18" s="679">
        <v>10</v>
      </c>
      <c r="V18" s="702"/>
      <c r="W18" s="693">
        <f t="shared" si="62"/>
        <v>0</v>
      </c>
      <c r="X18" s="694">
        <f>W18*'2627 Summary'!$B$34</f>
        <v>0</v>
      </c>
      <c r="Y18" s="693">
        <f t="shared" si="63"/>
        <v>64</v>
      </c>
      <c r="Z18" s="694">
        <f>Y18*'2627 Summary'!$B$35</f>
        <v>913250.09613304236</v>
      </c>
      <c r="AA18" s="693">
        <f t="shared" si="64"/>
        <v>3</v>
      </c>
      <c r="AB18" s="695">
        <f>AA18*'2627 Summary'!$B$36</f>
        <v>90712.767080128513</v>
      </c>
      <c r="AC18" s="695">
        <f t="shared" si="65"/>
        <v>1003962.8632131709</v>
      </c>
      <c r="AD18" s="537" t="s">
        <v>379</v>
      </c>
      <c r="AE18" s="537">
        <f t="shared" si="6"/>
        <v>0</v>
      </c>
      <c r="AF18" s="543"/>
      <c r="AG18" s="535"/>
      <c r="AH18" s="679">
        <v>46</v>
      </c>
      <c r="AI18" s="704">
        <f t="shared" si="9"/>
        <v>23230</v>
      </c>
      <c r="AJ18" s="710">
        <f>(E18*$AJ$2)*('2627 Summary'!$B$19-'2627 Summary'!$B$18)</f>
        <v>0</v>
      </c>
      <c r="AK18" s="716">
        <f t="shared" si="10"/>
        <v>0</v>
      </c>
      <c r="AL18" s="680" t="s">
        <v>845</v>
      </c>
      <c r="AM18" s="692">
        <f t="shared" si="11"/>
        <v>82</v>
      </c>
      <c r="AN18" s="707">
        <v>259479</v>
      </c>
      <c r="AO18" s="704">
        <f t="shared" si="12"/>
        <v>249936</v>
      </c>
      <c r="AP18" s="704">
        <f t="shared" si="13"/>
        <v>54120</v>
      </c>
      <c r="AQ18" s="717">
        <f>VLOOKUP(A18,'2526 3.4% Allocations'!$1:$1048576,12,(FALSE))</f>
        <v>749.89157480719678</v>
      </c>
      <c r="AR18" s="717">
        <f t="shared" si="14"/>
        <v>61491.109134190134</v>
      </c>
      <c r="AT18" s="763">
        <f>D18/$C$18</f>
        <v>0</v>
      </c>
      <c r="AU18" s="763">
        <f t="shared" ref="AU18:AZ18" si="70">E18/$C$18</f>
        <v>0</v>
      </c>
      <c r="AV18" s="763">
        <f t="shared" si="70"/>
        <v>0.95522388059701491</v>
      </c>
      <c r="AW18" s="763">
        <f t="shared" si="70"/>
        <v>0</v>
      </c>
      <c r="AX18" s="763">
        <f t="shared" si="70"/>
        <v>0</v>
      </c>
      <c r="AY18" s="763">
        <f t="shared" si="70"/>
        <v>0</v>
      </c>
      <c r="AZ18" s="763">
        <f t="shared" si="70"/>
        <v>4.4776119402985072E-2</v>
      </c>
      <c r="BA18" s="769">
        <f>S18</f>
        <v>82</v>
      </c>
      <c r="BB18" s="692">
        <f t="shared" si="17"/>
        <v>0</v>
      </c>
      <c r="BC18" s="717">
        <f t="shared" ref="BC18:BC20" si="71">BB18*$BB$2</f>
        <v>0</v>
      </c>
      <c r="BD18" s="692">
        <f t="shared" si="19"/>
        <v>78.328358208955223</v>
      </c>
      <c r="BE18" s="717">
        <f>BD18*$BD$2</f>
        <v>1169405.7892971563</v>
      </c>
      <c r="BF18" s="692">
        <f t="shared" si="21"/>
        <v>3.6716417910447761</v>
      </c>
      <c r="BG18" s="717">
        <f t="shared" ref="BG18:BG20" si="72">BF18*$BF$2</f>
        <v>113444.87911299309</v>
      </c>
      <c r="BH18" s="717">
        <f t="shared" si="23"/>
        <v>1282850.6684101494</v>
      </c>
      <c r="BI18" s="717">
        <f>VLOOKUP(A18,'2526 Band Calculations (2)'!$A$6:$U$22,21,(FALSE))</f>
        <v>1224221.6856704606</v>
      </c>
      <c r="BJ18" s="717">
        <f t="shared" si="24"/>
        <v>58628.982739688829</v>
      </c>
      <c r="BK18" s="692">
        <f>VLOOKUP(A18,'2526 Band Calculations'!$A$6:$U$21,11,(FALSE))</f>
        <v>0</v>
      </c>
      <c r="BL18" s="692">
        <f>VLOOKUP(A18,'2526 Band Calculations'!$A$6:$U$21,13,(FALSE))</f>
        <v>82</v>
      </c>
      <c r="BM18" s="692">
        <f>VLOOKUP(A18,'2526 Band Calculations'!$A$6:$U$21,15,(FALSE))</f>
        <v>0</v>
      </c>
      <c r="BN18" s="692">
        <f t="shared" si="25"/>
        <v>0</v>
      </c>
      <c r="BO18" s="692">
        <f t="shared" si="26"/>
        <v>-3.6716417910447774</v>
      </c>
      <c r="BP18" s="692">
        <f t="shared" si="27"/>
        <v>3.6716417910447761</v>
      </c>
      <c r="BQ18" s="692">
        <f t="shared" si="28"/>
        <v>0</v>
      </c>
      <c r="BR18" s="717">
        <f t="shared" si="29"/>
        <v>820000</v>
      </c>
      <c r="BS18" s="717">
        <f t="shared" si="30"/>
        <v>2102850.6684101494</v>
      </c>
      <c r="BT18" s="717">
        <f>VLOOKUP(A18,'2627 Funding Detail 2'!$A$4:$AD$19,30,(FALSE))</f>
        <v>1851985</v>
      </c>
      <c r="BU18" s="717">
        <f t="shared" si="31"/>
        <v>250865.6684101494</v>
      </c>
      <c r="BV18" s="717">
        <f t="shared" si="32"/>
        <v>25644.520346465237</v>
      </c>
      <c r="BW18" s="717">
        <f t="shared" si="33"/>
        <v>22585.182926829268</v>
      </c>
      <c r="BX18" s="717">
        <f t="shared" si="34"/>
        <v>3059.3374196359691</v>
      </c>
      <c r="BY18" s="763">
        <f t="shared" si="35"/>
        <v>0.13545772153130262</v>
      </c>
      <c r="BZ18" s="708">
        <f t="shared" si="36"/>
        <v>9.2728860765651316E-2</v>
      </c>
      <c r="CA18" s="707">
        <f t="shared" si="37"/>
        <v>-965.03913664725269</v>
      </c>
      <c r="CB18" s="717">
        <f t="shared" si="38"/>
        <v>-64657.622155365927</v>
      </c>
      <c r="CC18" s="717"/>
      <c r="CD18" s="717">
        <f>VLOOKUP(A18,'2526 Funding Comparisons'!$A$33:$AN$36,40,(FALSE))</f>
        <v>192236.68567046081</v>
      </c>
      <c r="CE18" s="717">
        <f t="shared" si="39"/>
        <v>58628.982739688596</v>
      </c>
      <c r="CG18" s="764">
        <f t="shared" si="40"/>
        <v>30385.704604199262</v>
      </c>
      <c r="CJ18" s="704">
        <f t="shared" si="41"/>
        <v>104140</v>
      </c>
      <c r="CK18" s="704">
        <f t="shared" si="42"/>
        <v>145796</v>
      </c>
      <c r="CL18" s="704">
        <f t="shared" si="43"/>
        <v>22550</v>
      </c>
      <c r="CM18" s="704">
        <f t="shared" si="44"/>
        <v>31570</v>
      </c>
      <c r="CN18" s="704">
        <f t="shared" si="45"/>
        <v>25621.295472579222</v>
      </c>
      <c r="CO18" s="704">
        <f t="shared" si="46"/>
        <v>35869.813661610911</v>
      </c>
      <c r="CP18" s="893">
        <f t="shared" si="47"/>
        <v>152311.29547257922</v>
      </c>
      <c r="CQ18" s="893">
        <f t="shared" si="48"/>
        <v>213235.81366161091</v>
      </c>
    </row>
    <row r="19" spans="1:95" x14ac:dyDescent="0.25">
      <c r="A19" s="688">
        <v>9257032</v>
      </c>
      <c r="B19" s="712" t="s">
        <v>357</v>
      </c>
      <c r="C19" s="690">
        <v>109</v>
      </c>
      <c r="D19" s="689">
        <v>0</v>
      </c>
      <c r="E19" s="689">
        <v>0</v>
      </c>
      <c r="F19" s="689">
        <v>109</v>
      </c>
      <c r="G19" s="689">
        <v>0</v>
      </c>
      <c r="H19" s="691">
        <v>0</v>
      </c>
      <c r="I19" s="689">
        <v>0</v>
      </c>
      <c r="J19" s="691">
        <v>0</v>
      </c>
      <c r="K19" s="697"/>
      <c r="L19" s="679">
        <v>117</v>
      </c>
      <c r="M19" s="679">
        <v>0</v>
      </c>
      <c r="N19" s="679">
        <f t="shared" si="67"/>
        <v>117</v>
      </c>
      <c r="O19" s="679">
        <v>117</v>
      </c>
      <c r="P19" s="679">
        <v>0</v>
      </c>
      <c r="Q19" s="679">
        <f t="shared" si="68"/>
        <v>117</v>
      </c>
      <c r="R19" s="679">
        <f t="shared" si="69"/>
        <v>0</v>
      </c>
      <c r="S19" s="558">
        <f t="shared" si="4"/>
        <v>117</v>
      </c>
      <c r="T19" s="702"/>
      <c r="U19" s="679">
        <v>4</v>
      </c>
      <c r="V19" s="702"/>
      <c r="W19" s="693">
        <f t="shared" si="62"/>
        <v>0</v>
      </c>
      <c r="X19" s="694">
        <f>W19*'2627 Summary'!$B$34</f>
        <v>0</v>
      </c>
      <c r="Y19" s="693">
        <f t="shared" si="63"/>
        <v>109</v>
      </c>
      <c r="Z19" s="694">
        <f>Y19*'2627 Summary'!$B$35</f>
        <v>1555379.0699765878</v>
      </c>
      <c r="AA19" s="693">
        <f t="shared" si="64"/>
        <v>0</v>
      </c>
      <c r="AB19" s="695">
        <f>AA19*'2627 Summary'!$B$36</f>
        <v>0</v>
      </c>
      <c r="AC19" s="695">
        <f t="shared" si="65"/>
        <v>1555379.0699765878</v>
      </c>
      <c r="AD19" s="537" t="s">
        <v>379</v>
      </c>
      <c r="AE19" s="537">
        <f t="shared" si="6"/>
        <v>0</v>
      </c>
      <c r="AF19" s="543"/>
      <c r="AG19" s="535"/>
      <c r="AH19" s="679">
        <v>71</v>
      </c>
      <c r="AI19" s="704">
        <f t="shared" si="9"/>
        <v>35855</v>
      </c>
      <c r="AJ19" s="710">
        <f>(E19*$AJ$2)*('2627 Summary'!$B$19-'2627 Summary'!$B$18)</f>
        <v>0</v>
      </c>
      <c r="AK19" s="716">
        <f t="shared" si="10"/>
        <v>0</v>
      </c>
      <c r="AL19" s="680" t="s">
        <v>845</v>
      </c>
      <c r="AM19" s="692">
        <f t="shared" si="11"/>
        <v>117</v>
      </c>
      <c r="AN19" s="707">
        <v>259479</v>
      </c>
      <c r="AO19" s="704">
        <f t="shared" si="12"/>
        <v>356616</v>
      </c>
      <c r="AP19" s="704">
        <f t="shared" si="13"/>
        <v>77220</v>
      </c>
      <c r="AQ19" s="717">
        <f>VLOOKUP(A19,'2526 3.4% Allocations'!$1:$1048576,12,(FALSE))</f>
        <v>756.85405807775328</v>
      </c>
      <c r="AR19" s="717">
        <f t="shared" si="14"/>
        <v>88551.924795097133</v>
      </c>
      <c r="AT19" s="763">
        <f>D19/$C$19</f>
        <v>0</v>
      </c>
      <c r="AU19" s="763">
        <f t="shared" ref="AU19:AZ19" si="73">E19/$C$19</f>
        <v>0</v>
      </c>
      <c r="AV19" s="763">
        <f t="shared" si="73"/>
        <v>1</v>
      </c>
      <c r="AW19" s="763">
        <f t="shared" si="73"/>
        <v>0</v>
      </c>
      <c r="AX19" s="763">
        <f t="shared" si="73"/>
        <v>0</v>
      </c>
      <c r="AY19" s="763">
        <f t="shared" si="73"/>
        <v>0</v>
      </c>
      <c r="AZ19" s="763">
        <f t="shared" si="73"/>
        <v>0</v>
      </c>
      <c r="BA19" s="769">
        <f t="shared" si="16"/>
        <v>117</v>
      </c>
      <c r="BB19" s="692">
        <f t="shared" si="17"/>
        <v>0</v>
      </c>
      <c r="BC19" s="717">
        <f t="shared" si="71"/>
        <v>0</v>
      </c>
      <c r="BD19" s="692">
        <f t="shared" si="19"/>
        <v>117</v>
      </c>
      <c r="BE19" s="717">
        <f t="shared" ref="BE19:BE20" si="74">BD19*$BD$2</f>
        <v>1746755.331993218</v>
      </c>
      <c r="BF19" s="692">
        <f t="shared" si="21"/>
        <v>0</v>
      </c>
      <c r="BG19" s="717">
        <f t="shared" si="72"/>
        <v>0</v>
      </c>
      <c r="BH19" s="717">
        <f t="shared" si="23"/>
        <v>1746755.331993218</v>
      </c>
      <c r="BI19" s="717">
        <f>VLOOKUP(A19,'2526 Band Calculations (2)'!$A$6:$U$22,21,(FALSE))</f>
        <v>1734314.0546998191</v>
      </c>
      <c r="BJ19" s="717">
        <f t="shared" si="24"/>
        <v>12441.277293398976</v>
      </c>
      <c r="BK19" s="692">
        <f>VLOOKUP(A19,'2526 Band Calculations'!$A$6:$U$21,11,(FALSE))</f>
        <v>0</v>
      </c>
      <c r="BL19" s="692">
        <f>VLOOKUP(A19,'2526 Band Calculations'!$A$6:$U$21,13,(FALSE))</f>
        <v>116.16666666666667</v>
      </c>
      <c r="BM19" s="692">
        <f>VLOOKUP(A19,'2526 Band Calculations'!$A$6:$U$21,15,(FALSE))</f>
        <v>0</v>
      </c>
      <c r="BN19" s="692">
        <f t="shared" si="25"/>
        <v>0</v>
      </c>
      <c r="BO19" s="692">
        <f t="shared" si="26"/>
        <v>0.8333333333333286</v>
      </c>
      <c r="BP19" s="692">
        <f t="shared" si="27"/>
        <v>0</v>
      </c>
      <c r="BQ19" s="692">
        <f t="shared" si="28"/>
        <v>0.8333333333333286</v>
      </c>
      <c r="BR19" s="717">
        <f t="shared" si="29"/>
        <v>1170000</v>
      </c>
      <c r="BS19" s="717">
        <f t="shared" si="30"/>
        <v>2916755.331993218</v>
      </c>
      <c r="BT19" s="717">
        <f>VLOOKUP(A19,'2627 Funding Detail 2'!$A$4:$AD$19,30,(FALSE))</f>
        <v>2571298</v>
      </c>
      <c r="BU19" s="717">
        <f t="shared" si="31"/>
        <v>345457.33199321805</v>
      </c>
      <c r="BV19" s="717">
        <f t="shared" si="32"/>
        <v>24929.532752078787</v>
      </c>
      <c r="BW19" s="717">
        <f t="shared" si="33"/>
        <v>21976.905982905984</v>
      </c>
      <c r="BX19" s="717">
        <f t="shared" si="34"/>
        <v>2952.6267691728026</v>
      </c>
      <c r="BY19" s="763">
        <f t="shared" si="35"/>
        <v>0.13435134005985222</v>
      </c>
      <c r="BZ19" s="708">
        <f t="shared" si="36"/>
        <v>9.2175670029926104E-2</v>
      </c>
      <c r="CA19" s="707">
        <f t="shared" si="37"/>
        <v>-926.89073501375174</v>
      </c>
      <c r="CB19" s="717">
        <f t="shared" si="38"/>
        <v>-101031.09011649893</v>
      </c>
      <c r="CC19" s="717"/>
      <c r="CD19" s="717">
        <f>VLOOKUP(A19,'2526 Funding Comparisons'!$A$33:$AN$36,40,(FALSE))</f>
        <v>338045.22136648605</v>
      </c>
      <c r="CE19" s="717">
        <f t="shared" si="39"/>
        <v>7412.1106267319992</v>
      </c>
      <c r="CG19" s="764">
        <f t="shared" si="40"/>
        <v>29700.839801609531</v>
      </c>
      <c r="CJ19" s="704">
        <f t="shared" si="41"/>
        <v>148590</v>
      </c>
      <c r="CK19" s="704">
        <f t="shared" si="42"/>
        <v>208026</v>
      </c>
      <c r="CL19" s="704">
        <f t="shared" si="43"/>
        <v>32175</v>
      </c>
      <c r="CM19" s="704">
        <f t="shared" si="44"/>
        <v>45045</v>
      </c>
      <c r="CN19" s="704">
        <f t="shared" si="45"/>
        <v>36896.635331290476</v>
      </c>
      <c r="CO19" s="704">
        <f t="shared" si="46"/>
        <v>51655.289463806665</v>
      </c>
      <c r="CP19" s="893">
        <f t="shared" si="47"/>
        <v>217661.63533129048</v>
      </c>
      <c r="CQ19" s="893">
        <f t="shared" si="48"/>
        <v>304726.28946380666</v>
      </c>
    </row>
    <row r="20" spans="1:95" ht="25" x14ac:dyDescent="0.25">
      <c r="A20" s="688">
        <v>9257030</v>
      </c>
      <c r="B20" s="713" t="s">
        <v>358</v>
      </c>
      <c r="C20" s="690">
        <v>82</v>
      </c>
      <c r="D20" s="690">
        <v>0</v>
      </c>
      <c r="E20" s="689">
        <v>0</v>
      </c>
      <c r="F20" s="802">
        <f>82-5</f>
        <v>77</v>
      </c>
      <c r="G20" s="689">
        <v>0</v>
      </c>
      <c r="H20" s="691">
        <v>0</v>
      </c>
      <c r="I20" s="689">
        <v>0</v>
      </c>
      <c r="J20" s="801">
        <f>0+5</f>
        <v>5</v>
      </c>
      <c r="K20" s="697"/>
      <c r="L20" s="679">
        <v>85</v>
      </c>
      <c r="M20" s="679">
        <v>0</v>
      </c>
      <c r="N20" s="679">
        <f t="shared" si="67"/>
        <v>85</v>
      </c>
      <c r="O20" s="679">
        <v>85</v>
      </c>
      <c r="P20" s="679">
        <v>0</v>
      </c>
      <c r="Q20" s="679">
        <f t="shared" si="68"/>
        <v>85</v>
      </c>
      <c r="R20" s="679">
        <f t="shared" si="69"/>
        <v>0</v>
      </c>
      <c r="S20" s="891">
        <f t="shared" si="4"/>
        <v>85</v>
      </c>
      <c r="T20" s="702"/>
      <c r="U20" s="679"/>
      <c r="V20" s="702"/>
      <c r="W20" s="693">
        <f t="shared" si="62"/>
        <v>0</v>
      </c>
      <c r="X20" s="694">
        <f>W20*'2627 Summary'!$B$34</f>
        <v>0</v>
      </c>
      <c r="Y20" s="693">
        <f t="shared" si="63"/>
        <v>77</v>
      </c>
      <c r="Z20" s="694">
        <f>Y20*'2627 Summary'!$B$35</f>
        <v>1098754.0219100665</v>
      </c>
      <c r="AA20" s="693">
        <f t="shared" si="64"/>
        <v>5</v>
      </c>
      <c r="AB20" s="695">
        <f>AA20*'2627 Summary'!$B$36</f>
        <v>151187.9451335475</v>
      </c>
      <c r="AC20" s="695">
        <f t="shared" si="65"/>
        <v>1249941.967043614</v>
      </c>
      <c r="AD20" s="537" t="s">
        <v>379</v>
      </c>
      <c r="AE20" s="537">
        <f t="shared" si="6"/>
        <v>0</v>
      </c>
      <c r="AF20" s="543"/>
      <c r="AG20" s="535"/>
      <c r="AH20" s="679">
        <v>55</v>
      </c>
      <c r="AI20" s="704">
        <f t="shared" si="9"/>
        <v>27775</v>
      </c>
      <c r="AJ20" s="710">
        <f>(E20*$AJ$2)*('2627 Summary'!$B$19-'2627 Summary'!$B$18)</f>
        <v>0</v>
      </c>
      <c r="AK20" s="716">
        <f t="shared" si="10"/>
        <v>0</v>
      </c>
      <c r="AL20" s="680" t="s">
        <v>845</v>
      </c>
      <c r="AM20" s="692">
        <f t="shared" si="11"/>
        <v>85</v>
      </c>
      <c r="AN20" s="707">
        <v>271457</v>
      </c>
      <c r="AO20" s="704">
        <f t="shared" si="12"/>
        <v>259080</v>
      </c>
      <c r="AP20" s="704">
        <f t="shared" si="13"/>
        <v>56100</v>
      </c>
      <c r="AQ20" s="717">
        <f>VLOOKUP(A20,'2526 3.4% Allocations'!$1:$1048576,12,(FALSE))</f>
        <v>776.49040312727345</v>
      </c>
      <c r="AR20" s="717">
        <f t="shared" si="14"/>
        <v>66001.684265818243</v>
      </c>
      <c r="AT20" s="763">
        <f>D20/$C$20</f>
        <v>0</v>
      </c>
      <c r="AU20" s="763">
        <f t="shared" ref="AU20:AZ20" si="75">E20/$C$20</f>
        <v>0</v>
      </c>
      <c r="AV20" s="763">
        <f t="shared" si="75"/>
        <v>0.93902439024390238</v>
      </c>
      <c r="AW20" s="763">
        <f t="shared" si="75"/>
        <v>0</v>
      </c>
      <c r="AX20" s="763">
        <f t="shared" si="75"/>
        <v>0</v>
      </c>
      <c r="AY20" s="763">
        <f t="shared" si="75"/>
        <v>0</v>
      </c>
      <c r="AZ20" s="763">
        <f t="shared" si="75"/>
        <v>6.097560975609756E-2</v>
      </c>
      <c r="BA20" s="769">
        <f t="shared" si="16"/>
        <v>85</v>
      </c>
      <c r="BB20" s="692">
        <f t="shared" si="17"/>
        <v>0</v>
      </c>
      <c r="BC20" s="717">
        <f t="shared" si="71"/>
        <v>0</v>
      </c>
      <c r="BD20" s="692">
        <f t="shared" si="19"/>
        <v>79.817073170731703</v>
      </c>
      <c r="BE20" s="717">
        <f t="shared" si="74"/>
        <v>1191631.6080775079</v>
      </c>
      <c r="BF20" s="692">
        <f t="shared" si="21"/>
        <v>5.1829268292682924</v>
      </c>
      <c r="BG20" s="717">
        <f t="shared" si="72"/>
        <v>160139.94312623827</v>
      </c>
      <c r="BH20" s="717">
        <f t="shared" si="23"/>
        <v>1351771.5512037461</v>
      </c>
      <c r="BI20" s="717">
        <f>VLOOKUP(A20,'2526 Band Calculations (2)'!$A$6:$U$22,21,(FALSE))</f>
        <v>1213024.5361064014</v>
      </c>
      <c r="BJ20" s="717">
        <f t="shared" si="24"/>
        <v>138747.01509734476</v>
      </c>
      <c r="BK20" s="692">
        <f>VLOOKUP(A20,'2526 Band Calculations'!$A$6:$U$21,11,(FALSE))</f>
        <v>0</v>
      </c>
      <c r="BL20" s="692">
        <f>VLOOKUP(A20,'2526 Band Calculations'!$A$6:$U$21,13,(FALSE))</f>
        <v>81.25</v>
      </c>
      <c r="BM20" s="692">
        <f>VLOOKUP(A20,'2526 Band Calculations'!$A$6:$U$21,15,(FALSE))</f>
        <v>0</v>
      </c>
      <c r="BN20" s="692">
        <f t="shared" si="25"/>
        <v>0</v>
      </c>
      <c r="BO20" s="692">
        <f t="shared" si="26"/>
        <v>-1.4329268292682968</v>
      </c>
      <c r="BP20" s="692">
        <f t="shared" si="27"/>
        <v>5.1829268292682924</v>
      </c>
      <c r="BQ20" s="692">
        <f t="shared" si="28"/>
        <v>3.7499999999999956</v>
      </c>
      <c r="BR20" s="717">
        <f t="shared" si="29"/>
        <v>850000</v>
      </c>
      <c r="BS20" s="717">
        <f t="shared" si="30"/>
        <v>2201771.5512037463</v>
      </c>
      <c r="BT20" s="717">
        <f>VLOOKUP(A20,'2627 Funding Detail 2'!$A$4:$AD$19,30,(FALSE))</f>
        <v>1931103.5975609757</v>
      </c>
      <c r="BU20" s="717">
        <f t="shared" si="31"/>
        <v>270667.95364277065</v>
      </c>
      <c r="BV20" s="717">
        <f t="shared" si="32"/>
        <v>25903.194720044074</v>
      </c>
      <c r="BW20" s="717">
        <f t="shared" si="33"/>
        <v>22718.865853658539</v>
      </c>
      <c r="BX20" s="717">
        <f t="shared" si="34"/>
        <v>3184.3288663855346</v>
      </c>
      <c r="BY20" s="763">
        <f t="shared" si="35"/>
        <v>0.14016231650369754</v>
      </c>
      <c r="BZ20" s="708">
        <f t="shared" si="36"/>
        <v>9.5081158251848763E-2</v>
      </c>
      <c r="CA20" s="707">
        <f t="shared" si="37"/>
        <v>-1024.1927868513039</v>
      </c>
      <c r="CB20" s="717">
        <f t="shared" si="38"/>
        <v>-83983.808521806917</v>
      </c>
      <c r="CC20" s="717"/>
      <c r="CD20" s="717">
        <f>VLOOKUP(A20,'2526 Funding Comparisons'!$A$33:$AN$36,40,(FALSE))</f>
        <v>185565.78610640141</v>
      </c>
      <c r="CE20" s="717">
        <f t="shared" si="39"/>
        <v>85102.167536369234</v>
      </c>
      <c r="CG20" s="764">
        <f t="shared" si="40"/>
        <v>30714.449829053701</v>
      </c>
      <c r="CJ20" s="704">
        <f t="shared" si="41"/>
        <v>107950</v>
      </c>
      <c r="CK20" s="704">
        <f t="shared" si="42"/>
        <v>151130</v>
      </c>
      <c r="CL20" s="704">
        <f t="shared" si="43"/>
        <v>23375</v>
      </c>
      <c r="CM20" s="704">
        <f t="shared" si="44"/>
        <v>32725</v>
      </c>
      <c r="CN20" s="704">
        <f t="shared" si="45"/>
        <v>27500.701777424267</v>
      </c>
      <c r="CO20" s="704">
        <f t="shared" si="46"/>
        <v>38500.98248839398</v>
      </c>
      <c r="CP20" s="893">
        <f t="shared" si="47"/>
        <v>158825.70177742426</v>
      </c>
      <c r="CQ20" s="893">
        <f t="shared" si="48"/>
        <v>222355.98248839399</v>
      </c>
    </row>
    <row r="21" spans="1:95" ht="13" thickBot="1" x14ac:dyDescent="0.3">
      <c r="L21" s="682">
        <f>SUM(L5:L20)</f>
        <v>2238</v>
      </c>
      <c r="M21" s="682">
        <f t="shared" ref="M21:S21" si="76">SUM(M5:M20)</f>
        <v>227</v>
      </c>
      <c r="N21" s="682">
        <f t="shared" si="76"/>
        <v>2465</v>
      </c>
      <c r="O21" s="682">
        <f t="shared" si="76"/>
        <v>2245</v>
      </c>
      <c r="P21" s="682">
        <f t="shared" si="76"/>
        <v>226</v>
      </c>
      <c r="Q21" s="682">
        <f t="shared" si="76"/>
        <v>2471</v>
      </c>
      <c r="R21" s="682">
        <f t="shared" si="76"/>
        <v>6</v>
      </c>
      <c r="S21" s="711">
        <f t="shared" si="76"/>
        <v>2468.416666666667</v>
      </c>
      <c r="T21" s="679"/>
      <c r="AC21" s="765">
        <f>SUM(AC5:AC20)</f>
        <v>22155602.5546479</v>
      </c>
      <c r="AE21" s="765">
        <f>SUM(AE5:AE20)</f>
        <v>248100</v>
      </c>
      <c r="AG21" s="765">
        <f>SUM(AG5:AG20)</f>
        <v>241070.49999999997</v>
      </c>
      <c r="AI21" s="765">
        <f>SUM(AI5:AI20)</f>
        <v>686295</v>
      </c>
      <c r="AJ21" s="765">
        <f>SUM(AJ5:AJ20)</f>
        <v>382476.36306106468</v>
      </c>
      <c r="AN21" s="765">
        <f>SUM(AN5:AN20)</f>
        <v>1038272</v>
      </c>
      <c r="AO21" s="765">
        <f t="shared" ref="AO21:AR21" si="77">SUM(AO5:AO20)</f>
        <v>7523988</v>
      </c>
      <c r="AP21" s="765">
        <f t="shared" si="77"/>
        <v>1629210</v>
      </c>
      <c r="AR21" s="765">
        <f t="shared" si="77"/>
        <v>1423824.4093968871</v>
      </c>
      <c r="BC21" s="717"/>
      <c r="BE21" s="717"/>
      <c r="BH21" s="765">
        <f>SUM(BH5:BH20)</f>
        <v>25171910.291046213</v>
      </c>
      <c r="BI21" s="765">
        <f t="shared" ref="BI21:BJ21" si="78">SUM(BI5:BI20)</f>
        <v>23730759.380565532</v>
      </c>
      <c r="BJ21" s="765">
        <f t="shared" si="78"/>
        <v>1441150.9104806834</v>
      </c>
      <c r="BR21" s="765">
        <f>SUM(BR5:BR20)</f>
        <v>24684166.666666668</v>
      </c>
      <c r="BS21" s="765">
        <f>SUM(BS5:BS20)</f>
        <v>50345247.457712874</v>
      </c>
      <c r="BT21" s="765">
        <f>SUM(BT5:BT20)</f>
        <v>47072352.583018139</v>
      </c>
      <c r="BU21" s="780">
        <f>SUM(BU5:BU20)</f>
        <v>3272894.8746947329</v>
      </c>
      <c r="BV21" s="764"/>
      <c r="BW21" s="764"/>
      <c r="BX21" s="764"/>
      <c r="BY21" s="764"/>
      <c r="BZ21" s="764"/>
      <c r="CA21" s="764"/>
      <c r="CB21" s="765">
        <f>SUM(CB5:CB20)</f>
        <v>-532033.9957656404</v>
      </c>
      <c r="CC21" s="764"/>
    </row>
    <row r="22" spans="1:95" x14ac:dyDescent="0.25">
      <c r="L22" s="679"/>
      <c r="M22" s="679"/>
      <c r="N22" s="679"/>
      <c r="O22" s="679"/>
      <c r="P22" s="679"/>
      <c r="Q22" s="679"/>
      <c r="R22" s="679"/>
      <c r="S22" s="679"/>
      <c r="AE22" s="679"/>
      <c r="BS22" s="764"/>
    </row>
    <row r="23" spans="1:95" ht="13" thickBot="1" x14ac:dyDescent="0.3">
      <c r="L23" s="717">
        <f>((5/12)*10000)*L21</f>
        <v>9325000</v>
      </c>
      <c r="M23" s="717">
        <f>((4/12)*10000)*M21</f>
        <v>756666.66666666663</v>
      </c>
      <c r="N23" s="717"/>
      <c r="O23" s="717">
        <f>((7/12)*10000)*O21</f>
        <v>13095833.333333334</v>
      </c>
      <c r="P23" s="717">
        <f>((8/12)*10000)*P21</f>
        <v>1506666.6666666665</v>
      </c>
      <c r="Q23" s="717"/>
      <c r="R23" s="679"/>
      <c r="S23" s="765">
        <f>S21*10000</f>
        <v>24684166.666666668</v>
      </c>
      <c r="U23" s="680" t="s">
        <v>878</v>
      </c>
      <c r="AB23" s="766" t="s">
        <v>921</v>
      </c>
      <c r="AC23" s="717">
        <f>AC21-'[14]2627 Places &amp; Banding'!$AC$21</f>
        <v>409513.62965640053</v>
      </c>
      <c r="BS23" s="764"/>
    </row>
    <row r="24" spans="1:95" x14ac:dyDescent="0.25">
      <c r="AQ24" s="764">
        <f>AVERAGE(AQ5:AQ20)</f>
        <v>605.1060056814772</v>
      </c>
      <c r="BS24" s="764"/>
      <c r="BY24" s="890">
        <f>AVERAGE(BY5:BY20)</f>
        <v>7.1686831851393309E-2</v>
      </c>
    </row>
    <row r="25" spans="1:95" x14ac:dyDescent="0.25">
      <c r="S25" s="758">
        <f>S21-S19-S17-S16-S15</f>
        <v>1774.416666666667</v>
      </c>
    </row>
    <row r="26" spans="1:95" x14ac:dyDescent="0.25">
      <c r="S26" s="680">
        <f>S25*10000</f>
        <v>17744166.666666668</v>
      </c>
      <c r="BH26" s="717"/>
      <c r="BI26" s="717"/>
      <c r="BJ26" s="717"/>
      <c r="BR26" s="764"/>
      <c r="BS26" s="764"/>
      <c r="BT26" s="764"/>
      <c r="BU26" s="764"/>
      <c r="CB26" s="764"/>
    </row>
    <row r="27" spans="1:95" x14ac:dyDescent="0.25">
      <c r="D27" s="759"/>
      <c r="E27" s="759"/>
      <c r="F27" s="759"/>
      <c r="G27" s="759"/>
      <c r="H27" s="759"/>
      <c r="I27" s="759"/>
      <c r="J27" s="759"/>
    </row>
    <row r="28" spans="1:95" x14ac:dyDescent="0.25">
      <c r="D28" s="759"/>
      <c r="E28" s="759"/>
      <c r="F28" s="759"/>
      <c r="G28" s="759"/>
      <c r="H28" s="759"/>
      <c r="I28" s="759"/>
      <c r="J28" s="759"/>
      <c r="L28" s="766" t="s">
        <v>233</v>
      </c>
      <c r="M28" s="717">
        <f>S23</f>
        <v>24684166.666666668</v>
      </c>
    </row>
    <row r="29" spans="1:95" x14ac:dyDescent="0.25">
      <c r="L29" s="766" t="s">
        <v>240</v>
      </c>
      <c r="M29" s="717">
        <f>AC21</f>
        <v>22155602.5546479</v>
      </c>
      <c r="O29" s="717">
        <f>BH21-M29-AP21</f>
        <v>1387097.7363983132</v>
      </c>
      <c r="P29" s="680" t="s">
        <v>893</v>
      </c>
    </row>
    <row r="30" spans="1:95" x14ac:dyDescent="0.25">
      <c r="D30" s="759"/>
      <c r="E30" s="759"/>
      <c r="F30" s="759"/>
      <c r="G30" s="759"/>
      <c r="H30" s="759"/>
      <c r="I30" s="759"/>
      <c r="J30" s="759"/>
      <c r="L30" s="766" t="s">
        <v>880</v>
      </c>
      <c r="M30" s="717">
        <f>AE21</f>
        <v>248100</v>
      </c>
    </row>
    <row r="31" spans="1:95" x14ac:dyDescent="0.25">
      <c r="D31" s="756"/>
      <c r="E31" s="756"/>
      <c r="F31" s="756"/>
      <c r="G31" s="756"/>
      <c r="H31" s="756"/>
      <c r="I31" s="756"/>
      <c r="J31" s="756"/>
      <c r="L31" s="766" t="s">
        <v>881</v>
      </c>
      <c r="M31" s="717">
        <f>AG21</f>
        <v>241070.49999999997</v>
      </c>
    </row>
    <row r="32" spans="1:95" x14ac:dyDescent="0.25">
      <c r="D32" s="756"/>
      <c r="E32" s="756"/>
      <c r="F32" s="756"/>
      <c r="G32" s="756"/>
      <c r="H32" s="756"/>
      <c r="I32" s="756"/>
      <c r="J32" s="756"/>
      <c r="L32" s="766" t="s">
        <v>884</v>
      </c>
      <c r="M32" s="717">
        <f>AP21</f>
        <v>1629210</v>
      </c>
      <c r="O32" s="764">
        <f>SUM(M28:M32)</f>
        <v>48958149.721314564</v>
      </c>
    </row>
    <row r="33" spans="2:18" x14ac:dyDescent="0.25">
      <c r="D33" s="756"/>
      <c r="E33" s="756"/>
      <c r="F33" s="756"/>
      <c r="G33" s="756"/>
      <c r="H33" s="756"/>
      <c r="I33" s="756"/>
      <c r="J33" s="756"/>
      <c r="L33" s="766" t="s">
        <v>885</v>
      </c>
      <c r="M33" s="717">
        <f>AR21</f>
        <v>1423824.4093968871</v>
      </c>
    </row>
    <row r="34" spans="2:18" x14ac:dyDescent="0.25">
      <c r="D34" s="758"/>
      <c r="E34" s="758"/>
      <c r="F34" s="758"/>
      <c r="G34" s="758"/>
      <c r="H34" s="758"/>
      <c r="I34" s="758"/>
      <c r="J34" s="758"/>
      <c r="L34" s="766" t="s">
        <v>913</v>
      </c>
      <c r="M34" s="717">
        <f>CB21</f>
        <v>-532033.9957656404</v>
      </c>
      <c r="R34" s="758"/>
    </row>
    <row r="35" spans="2:18" x14ac:dyDescent="0.25">
      <c r="D35" s="758"/>
      <c r="E35" s="758"/>
      <c r="F35" s="758"/>
      <c r="G35" s="758"/>
      <c r="H35" s="758"/>
      <c r="I35" s="758"/>
      <c r="J35" s="758"/>
      <c r="L35" s="767"/>
      <c r="M35" s="768">
        <f>SUM(M28:M34)</f>
        <v>49849940.13494581</v>
      </c>
      <c r="N35" s="758"/>
      <c r="O35" s="717"/>
      <c r="P35" s="717"/>
      <c r="R35" s="758"/>
    </row>
    <row r="36" spans="2:18" x14ac:dyDescent="0.25">
      <c r="L36" s="767" t="s">
        <v>821</v>
      </c>
      <c r="M36" s="717">
        <f>AI21</f>
        <v>686295</v>
      </c>
      <c r="N36" s="758"/>
      <c r="P36" s="758"/>
      <c r="R36" s="758"/>
    </row>
    <row r="37" spans="2:18" x14ac:dyDescent="0.25">
      <c r="L37" s="766" t="s">
        <v>824</v>
      </c>
      <c r="M37" s="717">
        <f>AN21</f>
        <v>1038272</v>
      </c>
    </row>
    <row r="38" spans="2:18" x14ac:dyDescent="0.25">
      <c r="D38" s="756"/>
      <c r="E38" s="756"/>
      <c r="F38" s="756"/>
      <c r="G38" s="756"/>
      <c r="H38" s="756"/>
      <c r="I38" s="756"/>
      <c r="J38" s="756"/>
      <c r="M38" s="768">
        <f>SUM(M36:M37)</f>
        <v>1724567</v>
      </c>
    </row>
    <row r="39" spans="2:18" x14ac:dyDescent="0.25">
      <c r="D39" s="756"/>
      <c r="E39" s="756"/>
      <c r="F39" s="756"/>
      <c r="G39" s="756"/>
      <c r="H39" s="756"/>
      <c r="I39" s="756"/>
      <c r="J39" s="756"/>
    </row>
    <row r="40" spans="2:18" x14ac:dyDescent="0.25">
      <c r="D40" s="758"/>
      <c r="E40" s="758"/>
      <c r="F40" s="758"/>
      <c r="G40" s="758"/>
      <c r="H40" s="758"/>
      <c r="I40" s="758"/>
      <c r="J40" s="758"/>
      <c r="L40" s="766" t="s">
        <v>882</v>
      </c>
      <c r="M40" s="764">
        <f>M35+M38</f>
        <v>51574507.13494581</v>
      </c>
      <c r="O40" s="764">
        <f>M40-'[15]2627 Places &amp; Banding'!$M$40</f>
        <v>86505.437689103186</v>
      </c>
      <c r="R40" s="758"/>
    </row>
    <row r="41" spans="2:18" x14ac:dyDescent="0.25">
      <c r="D41" s="758"/>
      <c r="E41" s="758"/>
      <c r="F41" s="758"/>
      <c r="G41" s="758"/>
      <c r="H41" s="758"/>
      <c r="I41" s="758"/>
      <c r="J41" s="758"/>
      <c r="L41" s="758"/>
      <c r="N41" s="758"/>
      <c r="P41" s="758"/>
      <c r="R41" s="758"/>
    </row>
    <row r="42" spans="2:18" x14ac:dyDescent="0.25">
      <c r="L42" s="758" t="s">
        <v>883</v>
      </c>
      <c r="M42" s="764">
        <f>46203793+1000000+150000+1397458</f>
        <v>48751251</v>
      </c>
      <c r="N42" s="758"/>
      <c r="P42" s="758"/>
      <c r="R42" s="758"/>
    </row>
    <row r="44" spans="2:18" x14ac:dyDescent="0.25">
      <c r="M44" s="717">
        <f>M40-M42</f>
        <v>2823256.1349458098</v>
      </c>
    </row>
    <row r="45" spans="2:18" x14ac:dyDescent="0.25">
      <c r="B45" s="680" t="s">
        <v>954</v>
      </c>
      <c r="M45" s="717">
        <v>250000</v>
      </c>
    </row>
    <row r="46" spans="2:18" x14ac:dyDescent="0.25">
      <c r="B46" s="680" t="s">
        <v>951</v>
      </c>
      <c r="M46" s="717">
        <f>AJ21</f>
        <v>382476.36306106468</v>
      </c>
    </row>
    <row r="47" spans="2:18" x14ac:dyDescent="0.25">
      <c r="B47" s="680" t="s">
        <v>950</v>
      </c>
      <c r="D47" s="756"/>
      <c r="E47" s="756"/>
      <c r="F47" s="756"/>
      <c r="G47" s="756"/>
      <c r="H47" s="756"/>
      <c r="I47" s="756"/>
      <c r="J47" s="756"/>
      <c r="M47" s="717">
        <f>AO21</f>
        <v>7523988</v>
      </c>
      <c r="O47" s="764">
        <f>M42+M47</f>
        <v>56275239</v>
      </c>
      <c r="P47" s="680" t="s">
        <v>883</v>
      </c>
    </row>
    <row r="48" spans="2:18" x14ac:dyDescent="0.25">
      <c r="D48" s="756"/>
      <c r="E48" s="756"/>
      <c r="F48" s="756"/>
      <c r="G48" s="756"/>
      <c r="H48" s="756"/>
      <c r="I48" s="756"/>
      <c r="J48" s="756" t="s">
        <v>922</v>
      </c>
    </row>
    <row r="49" spans="4:18" x14ac:dyDescent="0.25">
      <c r="J49" s="680" t="s">
        <v>923</v>
      </c>
      <c r="O49" s="764">
        <f>M40+M45+M46+M47</f>
        <v>59730971.498006873</v>
      </c>
      <c r="P49" s="680" t="s">
        <v>953</v>
      </c>
      <c r="R49" s="764">
        <f>+O49-O47</f>
        <v>3455732.4980068728</v>
      </c>
    </row>
    <row r="51" spans="4:18" x14ac:dyDescent="0.25">
      <c r="D51" s="756"/>
      <c r="E51" s="756"/>
      <c r="F51" s="756"/>
      <c r="G51" s="756"/>
      <c r="H51" s="756"/>
      <c r="I51" s="756"/>
      <c r="J51" s="756" t="s">
        <v>949</v>
      </c>
      <c r="O51" s="680">
        <f>M44/O47</f>
        <v>5.0168709811180184E-2</v>
      </c>
    </row>
    <row r="52" spans="4:18" x14ac:dyDescent="0.25">
      <c r="D52" s="756"/>
      <c r="E52" s="756"/>
      <c r="F52" s="756"/>
      <c r="G52" s="756"/>
      <c r="H52" s="756"/>
      <c r="I52" s="756"/>
      <c r="J52" s="756"/>
    </row>
    <row r="53" spans="4:18" x14ac:dyDescent="0.25">
      <c r="D53" s="761"/>
      <c r="E53" s="761"/>
      <c r="F53" s="761"/>
      <c r="G53" s="761"/>
      <c r="H53" s="761"/>
      <c r="I53" s="761"/>
      <c r="J53" s="761"/>
      <c r="O53" s="764">
        <f>O49-M46-M34</f>
        <v>59880529.130711451</v>
      </c>
      <c r="P53" s="680" t="s">
        <v>952</v>
      </c>
    </row>
    <row r="56" spans="4:18" x14ac:dyDescent="0.25">
      <c r="D56" s="756"/>
      <c r="E56" s="756"/>
      <c r="F56" s="756"/>
      <c r="G56" s="756"/>
      <c r="H56" s="756"/>
      <c r="I56" s="756"/>
      <c r="J56" s="756"/>
      <c r="K56" s="756"/>
    </row>
    <row r="57" spans="4:18" x14ac:dyDescent="0.25">
      <c r="D57" s="756"/>
      <c r="E57" s="756"/>
      <c r="F57" s="756"/>
      <c r="G57" s="756"/>
      <c r="H57" s="756"/>
      <c r="I57" s="756"/>
      <c r="J57" s="756"/>
    </row>
    <row r="58" spans="4:18" x14ac:dyDescent="0.25">
      <c r="D58" s="761"/>
      <c r="E58" s="761"/>
      <c r="F58" s="761"/>
      <c r="G58" s="761"/>
      <c r="H58" s="761"/>
      <c r="I58" s="761"/>
      <c r="J58" s="761"/>
    </row>
  </sheetData>
  <mergeCells count="3">
    <mergeCell ref="CJ3:CK3"/>
    <mergeCell ref="CL3:CM3"/>
    <mergeCell ref="CN3:CO3"/>
  </mergeCells>
  <pageMargins left="0.7" right="0.7" top="0.75" bottom="0.75" header="0.3" footer="0.3"/>
  <pageSetup paperSize="9" orientation="portrait" r:id="rId1"/>
  <ignoredErrors>
    <ignoredError sqref="N5"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15DBF-7805-4A2C-A5C4-A7047FABF8C4}">
  <sheetPr>
    <tabColor rgb="FF00B0F0"/>
  </sheetPr>
  <dimension ref="A1:AG69"/>
  <sheetViews>
    <sheetView workbookViewId="0">
      <selection activeCell="AI11" sqref="AI11"/>
    </sheetView>
  </sheetViews>
  <sheetFormatPr defaultColWidth="10.1796875" defaultRowHeight="12.5" x14ac:dyDescent="0.25"/>
  <cols>
    <col min="1" max="1" width="10.1796875" style="475"/>
    <col min="2" max="2" width="31.54296875" style="475" customWidth="1"/>
    <col min="3" max="3" width="26.54296875" style="475" customWidth="1"/>
    <col min="4" max="5" width="15.81640625" style="476" customWidth="1"/>
    <col min="6" max="6" width="16.453125" style="476" customWidth="1"/>
    <col min="7" max="7" width="15.81640625" style="476" customWidth="1"/>
    <col min="8" max="8" width="15.81640625" style="475" customWidth="1"/>
    <col min="9" max="9" width="22.1796875" style="475" bestFit="1" customWidth="1"/>
    <col min="10" max="10" width="15.81640625" style="475" customWidth="1"/>
    <col min="11" max="11" width="15.81640625" style="476" customWidth="1"/>
    <col min="12" max="12" width="17.1796875" style="475" customWidth="1"/>
    <col min="13" max="13" width="10.1796875" style="476"/>
    <col min="14" max="16" width="13.81640625" style="475" customWidth="1"/>
    <col min="17" max="17" width="11.1796875" style="475" bestFit="1" customWidth="1"/>
    <col min="18" max="19" width="11.1796875" style="475" customWidth="1"/>
    <col min="20" max="20" width="10.1796875" style="475"/>
    <col min="21" max="21" width="10.81640625" style="496" bestFit="1" customWidth="1"/>
    <col min="22" max="24" width="11.81640625" style="476" customWidth="1"/>
    <col min="25" max="25" width="10.81640625" style="476" bestFit="1" customWidth="1"/>
    <col min="26" max="27" width="11.1796875" style="475" customWidth="1"/>
    <col min="28" max="28" width="9.81640625" style="476" bestFit="1" customWidth="1"/>
    <col min="29" max="29" width="10.1796875" style="475"/>
    <col min="30" max="32" width="14.453125" style="475" bestFit="1" customWidth="1"/>
    <col min="33" max="16384" width="10.1796875" style="475"/>
  </cols>
  <sheetData>
    <row r="1" spans="1:33" ht="17.5" x14ac:dyDescent="0.35">
      <c r="B1" s="497" t="s">
        <v>823</v>
      </c>
      <c r="R1" s="475" t="s">
        <v>310</v>
      </c>
    </row>
    <row r="2" spans="1:33" ht="12.75" customHeight="1" x14ac:dyDescent="0.25"/>
    <row r="3" spans="1:33" ht="39" customHeight="1" x14ac:dyDescent="0.3">
      <c r="A3" s="722" t="s">
        <v>278</v>
      </c>
      <c r="B3" s="723" t="s">
        <v>279</v>
      </c>
      <c r="C3" s="724" t="s">
        <v>311</v>
      </c>
      <c r="D3" s="725" t="s">
        <v>312</v>
      </c>
      <c r="E3" s="725" t="s">
        <v>313</v>
      </c>
      <c r="F3" s="726" t="s">
        <v>314</v>
      </c>
      <c r="G3" s="726" t="s">
        <v>315</v>
      </c>
      <c r="H3" s="724" t="s">
        <v>316</v>
      </c>
      <c r="I3" s="724" t="s">
        <v>317</v>
      </c>
      <c r="J3" s="726" t="s">
        <v>318</v>
      </c>
      <c r="K3" s="499" t="s">
        <v>319</v>
      </c>
      <c r="L3" s="499" t="s">
        <v>811</v>
      </c>
      <c r="M3" s="502" t="s">
        <v>260</v>
      </c>
      <c r="N3" s="503" t="s">
        <v>321</v>
      </c>
      <c r="O3" s="504" t="s">
        <v>322</v>
      </c>
      <c r="P3" s="505" t="s">
        <v>323</v>
      </c>
      <c r="Q3" s="505" t="s">
        <v>324</v>
      </c>
      <c r="R3" s="505" t="s">
        <v>325</v>
      </c>
      <c r="S3" s="505" t="s">
        <v>326</v>
      </c>
      <c r="T3" s="499" t="s">
        <v>327</v>
      </c>
      <c r="U3" s="506" t="s">
        <v>328</v>
      </c>
      <c r="V3" s="727" t="s">
        <v>870</v>
      </c>
      <c r="W3" s="727" t="s">
        <v>871</v>
      </c>
      <c r="X3" s="507" t="s">
        <v>240</v>
      </c>
      <c r="Y3" s="507" t="s">
        <v>329</v>
      </c>
      <c r="Z3" s="506" t="s">
        <v>330</v>
      </c>
      <c r="AA3" s="499" t="s">
        <v>872</v>
      </c>
      <c r="AB3" s="475"/>
      <c r="AC3" s="481"/>
      <c r="AD3" s="481"/>
      <c r="AE3" s="728"/>
      <c r="AG3" s="481"/>
    </row>
    <row r="4" spans="1:33" x14ac:dyDescent="0.25">
      <c r="A4" s="482">
        <v>9257010</v>
      </c>
      <c r="B4" s="480" t="str">
        <f>VLOOKUP(A4,'2627 Places &amp; Banding'!$A$5:$B$20,2,(FALSE))</f>
        <v>Boston Endeavour Academy</v>
      </c>
      <c r="C4" s="510" t="s">
        <v>333</v>
      </c>
      <c r="D4" s="511">
        <v>614312</v>
      </c>
      <c r="E4" s="511">
        <v>161337</v>
      </c>
      <c r="F4" s="511"/>
      <c r="G4" s="511"/>
      <c r="H4" s="512">
        <f>VLOOKUP(A4,'[16]2627 Band Calculations'!$A$100:$T$115,10,FALSE)</f>
        <v>2181175.8205128205</v>
      </c>
      <c r="I4" s="511">
        <f>VLOOKUP(A4,'2627 Places &amp; Banding'!$A$5:$AI$20,35,(FALSE))</f>
        <v>40400</v>
      </c>
      <c r="J4" s="511">
        <f>SUM(D4:I4)</f>
        <v>2997224.8205128205</v>
      </c>
      <c r="K4" s="512">
        <f>J4-F4-G4</f>
        <v>2997224.8205128205</v>
      </c>
      <c r="L4" s="729">
        <f>VLOOKUP(A4,'[16]2627 Band Calculations'!$A$100:$T$115,19,FALSE)</f>
        <v>158</v>
      </c>
      <c r="M4" s="496">
        <f>VLOOKUP(A4,'[16]2627 Band Calculations'!$A$98:$AN$115,40,(FALSE))</f>
        <v>421462.97435897432</v>
      </c>
      <c r="N4" s="513">
        <f>L4-(L4*(VLOOKUP(A4,'[16]2627 Band Calculations'!$A$6:$J$21,10,(FALSE))))</f>
        <v>141.7948717948718</v>
      </c>
      <c r="O4" s="496">
        <f>(H4-M4)/N4</f>
        <v>12410.271428571428</v>
      </c>
      <c r="P4" s="514">
        <f>'[16]2526 Local Protection'!L11</f>
        <v>82.458329797119717</v>
      </c>
      <c r="Q4" s="514">
        <f>K4+P4</f>
        <v>2997307.2788426178</v>
      </c>
      <c r="R4" s="496">
        <f>L4*10000</f>
        <v>1580000</v>
      </c>
      <c r="S4" s="496">
        <f>IF(R4&gt;Q4,(R4-Q4),(0))</f>
        <v>0</v>
      </c>
      <c r="T4" s="506">
        <f>Q4/L4</f>
        <v>18970.299233181126</v>
      </c>
      <c r="U4" s="506">
        <f t="shared" ref="U4:U19" si="0">L4*10000</f>
        <v>1580000</v>
      </c>
      <c r="V4" s="506"/>
      <c r="W4" s="506"/>
      <c r="X4" s="506">
        <f>T4-10000</f>
        <v>8970.2992331811256</v>
      </c>
      <c r="Y4" s="511">
        <f>Q4-U4</f>
        <v>1417307.2788426178</v>
      </c>
      <c r="Z4" s="511">
        <f>U4+Y4</f>
        <v>2997307.2788426178</v>
      </c>
      <c r="AA4" s="511">
        <f>Q4-Z4</f>
        <v>0</v>
      </c>
      <c r="AB4" s="475"/>
      <c r="AC4" s="496"/>
      <c r="AD4" s="496">
        <f>D4+E4+G4+H4+P4</f>
        <v>2956907.2788426178</v>
      </c>
      <c r="AE4" s="496"/>
      <c r="AF4" s="730"/>
      <c r="AG4" s="525"/>
    </row>
    <row r="5" spans="1:33" x14ac:dyDescent="0.25">
      <c r="A5" s="482">
        <v>9257005</v>
      </c>
      <c r="B5" s="480" t="str">
        <f>VLOOKUP(A5,'2627 Places &amp; Banding'!$A$5:$B$20,2,(FALSE))</f>
        <v>Newton Bridge Academy</v>
      </c>
      <c r="C5" s="510" t="s">
        <v>335</v>
      </c>
      <c r="D5" s="511">
        <v>765070.5</v>
      </c>
      <c r="E5" s="511">
        <v>179765.5</v>
      </c>
      <c r="F5" s="511"/>
      <c r="G5" s="516">
        <f>372304+8958</f>
        <v>381262</v>
      </c>
      <c r="H5" s="512">
        <f>VLOOKUP(A5,'[16]2627 Band Calculations'!$A$100:$T$115,10,FALSE)</f>
        <v>3206967.4402654869</v>
      </c>
      <c r="I5" s="511">
        <f>VLOOKUP(A5,'2627 Places &amp; Banding'!$A$5:$AI$20,35,(FALSE))</f>
        <v>65650</v>
      </c>
      <c r="J5" s="511">
        <f t="shared" ref="J5:J19" si="1">SUM(D5:I5)</f>
        <v>4598715.4402654869</v>
      </c>
      <c r="K5" s="512">
        <f t="shared" ref="K5:K19" si="2">J5-F5-G5</f>
        <v>4217453.4402654869</v>
      </c>
      <c r="L5" s="729">
        <f>VLOOKUP(A5,'[16]2627 Band Calculations'!$A$100:$T$115,19,FALSE)</f>
        <v>260.16666666666674</v>
      </c>
      <c r="M5" s="496">
        <f>VLOOKUP(A5,'[16]2627 Band Calculations'!$A$98:$AN$115,40,(FALSE))</f>
        <v>359278.6548672567</v>
      </c>
      <c r="N5" s="513">
        <f>L5-(L5*(VLOOKUP(A5,'[16]2627 Band Calculations'!$A$6:$J$21,10,(FALSE))))</f>
        <v>246.35250737463133</v>
      </c>
      <c r="O5" s="496">
        <f t="shared" ref="O5:O19" si="3">(H5-M5)/N5</f>
        <v>11559.406542056073</v>
      </c>
      <c r="P5" s="514">
        <f>'[16]2526 Local Protection'!L20</f>
        <v>0</v>
      </c>
      <c r="Q5" s="514">
        <f t="shared" ref="Q5:Q18" si="4">K5+P5</f>
        <v>4217453.4402654869</v>
      </c>
      <c r="R5" s="496">
        <f t="shared" ref="R5:R19" si="5">L5*10000</f>
        <v>2601666.6666666674</v>
      </c>
      <c r="S5" s="496">
        <f t="shared" ref="S5:S19" si="6">IF(R5&gt;Q5,(R5-Q5),(0))</f>
        <v>0</v>
      </c>
      <c r="T5" s="506">
        <f t="shared" ref="T5:T19" si="7">Q5/L5</f>
        <v>16210.583370655295</v>
      </c>
      <c r="U5" s="506">
        <f t="shared" si="0"/>
        <v>2601666.6666666674</v>
      </c>
      <c r="V5" s="506"/>
      <c r="W5" s="506"/>
      <c r="X5" s="506">
        <f t="shared" ref="X5:X19" si="8">T5-10000</f>
        <v>6210.5833706552949</v>
      </c>
      <c r="Y5" s="511">
        <f t="shared" ref="Y5:Y19" si="9">Q5-U5</f>
        <v>1615786.7735988195</v>
      </c>
      <c r="Z5" s="511">
        <f t="shared" ref="Z5:Z19" si="10">U5+Y5</f>
        <v>4217453.4402654869</v>
      </c>
      <c r="AA5" s="511">
        <f t="shared" ref="AA5:AA19" si="11">Q5-Z5</f>
        <v>0</v>
      </c>
      <c r="AB5" s="475"/>
      <c r="AC5" s="496"/>
      <c r="AD5" s="496">
        <f t="shared" ref="AD5:AD19" si="12">D5+E5+G5+H5+P5</f>
        <v>4533065.4402654869</v>
      </c>
      <c r="AE5" s="496"/>
      <c r="AF5" s="730"/>
    </row>
    <row r="6" spans="1:33" x14ac:dyDescent="0.25">
      <c r="A6" s="482">
        <v>9257025</v>
      </c>
      <c r="B6" s="480" t="str">
        <f>VLOOKUP(A6,'2627 Places &amp; Banding'!$A$5:$B$20,2,(FALSE))</f>
        <v>St Bernards School, Louth</v>
      </c>
      <c r="C6" s="510" t="s">
        <v>337</v>
      </c>
      <c r="D6" s="511">
        <v>516137</v>
      </c>
      <c r="E6" s="511">
        <v>137954</v>
      </c>
      <c r="F6" s="511"/>
      <c r="G6" s="511"/>
      <c r="H6" s="512">
        <f>VLOOKUP(A6,'[16]2627 Band Calculations'!$A$100:$T$115,10,FALSE)</f>
        <v>1353243.8853211012</v>
      </c>
      <c r="I6" s="511">
        <f>VLOOKUP(A6,'2627 Places &amp; Banding'!$A$5:$AI$20,35,(FALSE))</f>
        <v>40905</v>
      </c>
      <c r="J6" s="511">
        <f t="shared" si="1"/>
        <v>2048239.8853211012</v>
      </c>
      <c r="K6" s="512">
        <f t="shared" si="2"/>
        <v>2048239.8853211012</v>
      </c>
      <c r="L6" s="729">
        <f>VLOOKUP(A6,'[16]2627 Band Calculations'!$A$100:$T$115,19,FALSE)</f>
        <v>113.16666666666666</v>
      </c>
      <c r="M6" s="496">
        <f>VLOOKUP(A6,'[16]2627 Band Calculations'!$A$98:$AN$115,40,(FALSE))</f>
        <v>135010.94801223243</v>
      </c>
      <c r="N6" s="513">
        <f>L6-(L6*(VLOOKUP(A6,'[16]2627 Band Calculations'!$A$6:$J$21,10,(FALSE))))</f>
        <v>107.97553516819571</v>
      </c>
      <c r="O6" s="496">
        <f t="shared" si="3"/>
        <v>11282.49038461539</v>
      </c>
      <c r="P6" s="514">
        <f>'[16]2526 Local Protection'!L29</f>
        <v>3997.1444837946465</v>
      </c>
      <c r="Q6" s="514">
        <f t="shared" si="4"/>
        <v>2052237.0298048959</v>
      </c>
      <c r="R6" s="496">
        <f t="shared" si="5"/>
        <v>1131666.6666666665</v>
      </c>
      <c r="S6" s="496">
        <f t="shared" si="6"/>
        <v>0</v>
      </c>
      <c r="T6" s="506">
        <f t="shared" si="7"/>
        <v>18134.642384137522</v>
      </c>
      <c r="U6" s="506">
        <f t="shared" si="0"/>
        <v>1131666.6666666665</v>
      </c>
      <c r="V6" s="506"/>
      <c r="W6" s="506"/>
      <c r="X6" s="506">
        <f t="shared" si="8"/>
        <v>8134.6423841375217</v>
      </c>
      <c r="Y6" s="511">
        <f>Q6-U6</f>
        <v>920570.36313822935</v>
      </c>
      <c r="Z6" s="511">
        <f t="shared" si="10"/>
        <v>2052237.0298048959</v>
      </c>
      <c r="AA6" s="511">
        <f t="shared" si="11"/>
        <v>0</v>
      </c>
      <c r="AB6" s="475"/>
      <c r="AC6" s="496"/>
      <c r="AD6" s="496">
        <f t="shared" si="12"/>
        <v>2011332.0298048959</v>
      </c>
      <c r="AE6" s="496"/>
      <c r="AF6" s="730"/>
    </row>
    <row r="7" spans="1:33" x14ac:dyDescent="0.25">
      <c r="A7" s="482">
        <v>9257024</v>
      </c>
      <c r="B7" s="480" t="str">
        <f>VLOOKUP(A7,'2627 Places &amp; Banding'!$A$5:$B$20,2,(FALSE))</f>
        <v>The Eresby School</v>
      </c>
      <c r="C7" s="510" t="s">
        <v>339</v>
      </c>
      <c r="D7" s="511">
        <v>470457</v>
      </c>
      <c r="E7" s="511">
        <v>131813</v>
      </c>
      <c r="F7" s="511"/>
      <c r="G7" s="511"/>
      <c r="H7" s="512">
        <f>VLOOKUP(A7,'[16]2627 Band Calculations'!$A$100:$T$115,10,FALSE)</f>
        <v>1247167.4992424245</v>
      </c>
      <c r="I7" s="511">
        <f>VLOOKUP(A7,'2627 Places &amp; Banding'!$A$5:$AI$20,35,(FALSE))</f>
        <v>33835</v>
      </c>
      <c r="J7" s="511">
        <f t="shared" si="1"/>
        <v>1883272.4992424245</v>
      </c>
      <c r="K7" s="512">
        <f t="shared" si="2"/>
        <v>1883272.4992424245</v>
      </c>
      <c r="L7" s="729">
        <f>VLOOKUP(A7,'[16]2627 Band Calculations'!$A$100:$T$115,19,FALSE)</f>
        <v>115.08333333333334</v>
      </c>
      <c r="M7" s="496">
        <f>VLOOKUP(A7,'[16]2627 Band Calculations'!$A$98:$AN$115,40,(FALSE))</f>
        <v>136049.42424242428</v>
      </c>
      <c r="N7" s="513">
        <f>L7-(L7*(VLOOKUP(A7,'[16]2627 Band Calculations'!$A$6:$J$21,10,(FALSE))))</f>
        <v>109.85227272727273</v>
      </c>
      <c r="O7" s="496">
        <f t="shared" si="3"/>
        <v>10114.657142857144</v>
      </c>
      <c r="P7" s="514">
        <f>'[16]2526 Local Protection'!L47</f>
        <v>4780.2404430071419</v>
      </c>
      <c r="Q7" s="514">
        <f t="shared" si="4"/>
        <v>1888052.7396854316</v>
      </c>
      <c r="R7" s="496">
        <f t="shared" si="5"/>
        <v>1150833.3333333335</v>
      </c>
      <c r="S7" s="496">
        <f t="shared" si="6"/>
        <v>0</v>
      </c>
      <c r="T7" s="506">
        <f t="shared" si="7"/>
        <v>16405.961532386082</v>
      </c>
      <c r="U7" s="506">
        <f t="shared" si="0"/>
        <v>1150833.3333333335</v>
      </c>
      <c r="V7" s="506"/>
      <c r="W7" s="506"/>
      <c r="X7" s="506">
        <f t="shared" si="8"/>
        <v>6405.9615323860817</v>
      </c>
      <c r="Y7" s="511">
        <f t="shared" si="9"/>
        <v>737219.4063520981</v>
      </c>
      <c r="Z7" s="511">
        <f t="shared" si="10"/>
        <v>1888052.7396854316</v>
      </c>
      <c r="AA7" s="511">
        <f t="shared" si="11"/>
        <v>0</v>
      </c>
      <c r="AB7" s="475"/>
      <c r="AC7" s="496"/>
      <c r="AD7" s="496">
        <f t="shared" si="12"/>
        <v>1854217.7396854316</v>
      </c>
      <c r="AE7" s="496"/>
      <c r="AF7" s="730"/>
    </row>
    <row r="8" spans="1:33" x14ac:dyDescent="0.25">
      <c r="A8" s="482">
        <v>9257031</v>
      </c>
      <c r="B8" s="480" t="str">
        <f>VLOOKUP(A8,'2627 Places &amp; Banding'!$A$5:$B$20,2,(FALSE))</f>
        <v>Fortuna School</v>
      </c>
      <c r="C8" s="510" t="s">
        <v>337</v>
      </c>
      <c r="D8" s="511">
        <v>434185</v>
      </c>
      <c r="E8" s="511">
        <v>102930</v>
      </c>
      <c r="F8" s="731">
        <v>247857</v>
      </c>
      <c r="G8" s="511"/>
      <c r="H8" s="512">
        <f>VLOOKUP(A8,'[16]2627 Band Calculations'!$A$100:$T$115,10,FALSE)</f>
        <v>1334473.8088235296</v>
      </c>
      <c r="I8" s="511">
        <f>VLOOKUP(A8,'2627 Places &amp; Banding'!$A$5:$AI$20,35,(FALSE))</f>
        <v>25250</v>
      </c>
      <c r="J8" s="511">
        <f t="shared" si="1"/>
        <v>2144695.8088235296</v>
      </c>
      <c r="K8" s="512">
        <f t="shared" si="2"/>
        <v>1896838.8088235296</v>
      </c>
      <c r="L8" s="729">
        <f>VLOOKUP(A8,'[16]2627 Band Calculations'!$A$100:$T$115,19,FALSE)</f>
        <v>81</v>
      </c>
      <c r="M8" s="496">
        <f>VLOOKUP(A8,'[16]2627 Band Calculations'!$A$98:$AN$115,40,(FALSE))</f>
        <v>92940.352941176476</v>
      </c>
      <c r="N8" s="513">
        <f>L8-(L8*(VLOOKUP(A8,'[16]2627 Band Calculations'!$A$6:$J$21,10,(FALSE))))</f>
        <v>77.42647058823529</v>
      </c>
      <c r="O8" s="496">
        <f t="shared" si="3"/>
        <v>16035.000000000005</v>
      </c>
      <c r="P8" s="514">
        <f>'[16]2526 Local Protection'!L56</f>
        <v>0</v>
      </c>
      <c r="Q8" s="514">
        <f>K8+P8</f>
        <v>1896838.8088235296</v>
      </c>
      <c r="R8" s="496">
        <f>L8*10000</f>
        <v>810000</v>
      </c>
      <c r="S8" s="496">
        <f>IF(R8&gt;Q8,(R8-Q8),(0))</f>
        <v>0</v>
      </c>
      <c r="T8" s="506">
        <f>Q8/L8</f>
        <v>23417.763071895428</v>
      </c>
      <c r="U8" s="506">
        <f>L8*10000</f>
        <v>810000</v>
      </c>
      <c r="V8" s="506"/>
      <c r="W8" s="506"/>
      <c r="X8" s="506">
        <f>T8-10000</f>
        <v>13417.763071895428</v>
      </c>
      <c r="Y8" s="511">
        <f>Q8-U8</f>
        <v>1086838.8088235296</v>
      </c>
      <c r="Z8" s="511">
        <f>U8+Y8</f>
        <v>1896838.8088235296</v>
      </c>
      <c r="AA8" s="511">
        <f>Q8-Z8</f>
        <v>0</v>
      </c>
      <c r="AB8" s="475"/>
      <c r="AC8" s="496"/>
      <c r="AD8" s="496">
        <f t="shared" si="12"/>
        <v>1871588.8088235296</v>
      </c>
      <c r="AE8" s="496"/>
      <c r="AF8" s="730"/>
    </row>
    <row r="9" spans="1:33" x14ac:dyDescent="0.25">
      <c r="A9" s="482">
        <v>9257033</v>
      </c>
      <c r="B9" s="480" t="str">
        <f>VLOOKUP(A9,'2627 Places &amp; Banding'!$A$5:$B$20,2,(FALSE))</f>
        <v>Mayflower Academy Warren Wood - A Specialist Academy</v>
      </c>
      <c r="C9" s="510" t="s">
        <v>337</v>
      </c>
      <c r="D9" s="511">
        <v>516137</v>
      </c>
      <c r="E9" s="511">
        <v>137954</v>
      </c>
      <c r="F9" s="519"/>
      <c r="G9" s="511"/>
      <c r="H9" s="512">
        <f>VLOOKUP(A9,'[16]2627 Band Calculations'!$A$100:$T$115,10,FALSE)</f>
        <v>1533958.1782945737</v>
      </c>
      <c r="I9" s="511">
        <f>VLOOKUP(A9,'2627 Places &amp; Banding'!$A$5:$AI$20,35,(FALSE))</f>
        <v>41410</v>
      </c>
      <c r="J9" s="511">
        <f t="shared" si="1"/>
        <v>2229459.1782945739</v>
      </c>
      <c r="K9" s="512">
        <f t="shared" si="2"/>
        <v>2229459.1782945739</v>
      </c>
      <c r="L9" s="729">
        <f>VLOOKUP(A9,'[16]2627 Band Calculations'!$A$100:$T$115,19,FALSE)</f>
        <v>127.00000000000001</v>
      </c>
      <c r="M9" s="496">
        <f>VLOOKUP(A9,'[16]2627 Band Calculations'!$A$98:$AN$115,40,(FALSE))</f>
        <v>179233.42635658913</v>
      </c>
      <c r="N9" s="513">
        <f>L9-(L9*(VLOOKUP(A9,'[16]2627 Band Calculations'!$A$6:$J$21,10,(FALSE))))</f>
        <v>120.10852713178296</v>
      </c>
      <c r="O9" s="496">
        <f t="shared" si="3"/>
        <v>11279.172131147539</v>
      </c>
      <c r="P9" s="514">
        <f>'[16]2526 Local Protection'!L65</f>
        <v>0</v>
      </c>
      <c r="Q9" s="514">
        <f>K9+P9</f>
        <v>2229459.1782945739</v>
      </c>
      <c r="R9" s="496">
        <f>L9*10000</f>
        <v>1270000.0000000002</v>
      </c>
      <c r="S9" s="496">
        <f>IF(R9&gt;Q9,(R9-Q9),(0))</f>
        <v>0</v>
      </c>
      <c r="T9" s="506">
        <f>Q9/L9</f>
        <v>17554.796679484833</v>
      </c>
      <c r="U9" s="506">
        <f>L9*10000</f>
        <v>1270000.0000000002</v>
      </c>
      <c r="V9" s="506"/>
      <c r="W9" s="506"/>
      <c r="X9" s="506">
        <f>T9-10000</f>
        <v>7554.7966794848326</v>
      </c>
      <c r="Y9" s="511">
        <f>Q9-U9</f>
        <v>959459.17829457368</v>
      </c>
      <c r="Z9" s="511">
        <f>U9+Y9</f>
        <v>2229459.1782945739</v>
      </c>
      <c r="AA9" s="511">
        <f>Q9-Z9</f>
        <v>0</v>
      </c>
      <c r="AB9" s="475"/>
      <c r="AC9" s="496"/>
      <c r="AD9" s="496">
        <f t="shared" si="12"/>
        <v>2188049.1782945739</v>
      </c>
      <c r="AE9" s="496"/>
      <c r="AF9" s="730"/>
    </row>
    <row r="10" spans="1:33" x14ac:dyDescent="0.25">
      <c r="A10" s="482">
        <v>9257008</v>
      </c>
      <c r="B10" s="480" t="str">
        <f>VLOOKUP(A10,'2627 Places &amp; Banding'!$A$5:$B$20,2,(FALSE))</f>
        <v>Gosberton House Academy</v>
      </c>
      <c r="C10" s="510" t="s">
        <v>339</v>
      </c>
      <c r="D10" s="511">
        <v>470457</v>
      </c>
      <c r="E10" s="511">
        <v>131813</v>
      </c>
      <c r="F10" s="519"/>
      <c r="G10" s="511"/>
      <c r="H10" s="512">
        <f>VLOOKUP(A10,'[16]2627 Band Calculations'!$A$100:$T$115,10,FALSE)</f>
        <v>1247378.40625</v>
      </c>
      <c r="I10" s="511">
        <f>VLOOKUP(A10,'2627 Places &amp; Banding'!$A$5:$AI$20,35,(FALSE))</f>
        <v>25755</v>
      </c>
      <c r="J10" s="511">
        <f t="shared" si="1"/>
        <v>1875403.40625</v>
      </c>
      <c r="K10" s="512">
        <f t="shared" si="2"/>
        <v>1875403.40625</v>
      </c>
      <c r="L10" s="729">
        <f>VLOOKUP(A10,'[16]2627 Band Calculations'!$A$100:$T$115,19,FALSE)</f>
        <v>101</v>
      </c>
      <c r="M10" s="496">
        <f>VLOOKUP(A10,'[16]2627 Band Calculations'!$A$98:$AN$115,40,(FALSE))</f>
        <v>27362.583333333332</v>
      </c>
      <c r="N10" s="513">
        <f>L10-(L10*(VLOOKUP(A10,'[16]2627 Band Calculations'!$A$6:$J$21,10,(FALSE))))</f>
        <v>99.947916666666671</v>
      </c>
      <c r="O10" s="496">
        <f t="shared" si="3"/>
        <v>12206.515789473684</v>
      </c>
      <c r="P10" s="514">
        <f>'[16]2526 Local Protection'!L74</f>
        <v>0</v>
      </c>
      <c r="Q10" s="514">
        <f t="shared" si="4"/>
        <v>1875403.40625</v>
      </c>
      <c r="R10" s="496">
        <f t="shared" si="5"/>
        <v>1010000</v>
      </c>
      <c r="S10" s="496">
        <f t="shared" si="6"/>
        <v>0</v>
      </c>
      <c r="T10" s="506">
        <f t="shared" si="7"/>
        <v>18568.350556930694</v>
      </c>
      <c r="U10" s="506">
        <f t="shared" si="0"/>
        <v>1010000</v>
      </c>
      <c r="V10" s="506"/>
      <c r="W10" s="506"/>
      <c r="X10" s="506">
        <f t="shared" si="8"/>
        <v>8568.3505569306944</v>
      </c>
      <c r="Y10" s="511">
        <f t="shared" si="9"/>
        <v>865403.40625</v>
      </c>
      <c r="Z10" s="511">
        <f t="shared" si="10"/>
        <v>1875403.40625</v>
      </c>
      <c r="AA10" s="511">
        <f t="shared" si="11"/>
        <v>0</v>
      </c>
      <c r="AB10" s="475"/>
      <c r="AC10" s="496"/>
      <c r="AD10" s="496">
        <f t="shared" si="12"/>
        <v>1849648.40625</v>
      </c>
      <c r="AE10" s="496"/>
      <c r="AF10" s="730"/>
    </row>
    <row r="11" spans="1:33" x14ac:dyDescent="0.25">
      <c r="A11" s="482">
        <v>9257034</v>
      </c>
      <c r="B11" s="480" t="str">
        <f>VLOOKUP(A11,'2627 Places &amp; Banding'!$A$5:$B$20,2,(FALSE))</f>
        <v>Inspire Connected Communities Trust - Aegir School</v>
      </c>
      <c r="C11" s="510" t="s">
        <v>343</v>
      </c>
      <c r="D11" s="511">
        <v>565224.5</v>
      </c>
      <c r="E11" s="511">
        <v>149645.5</v>
      </c>
      <c r="F11" s="519"/>
      <c r="G11" s="511"/>
      <c r="H11" s="512">
        <f>VLOOKUP(A11,'[16]2627 Band Calculations'!$A$100:$T$115,10,FALSE)</f>
        <v>1826449.8620689656</v>
      </c>
      <c r="I11" s="511">
        <f>VLOOKUP(A11,'2627 Places &amp; Banding'!$A$5:$AI$20,35,(FALSE))</f>
        <v>47470</v>
      </c>
      <c r="J11" s="511">
        <f t="shared" si="1"/>
        <v>2588789.8620689656</v>
      </c>
      <c r="K11" s="512">
        <f t="shared" si="2"/>
        <v>2588789.8620689656</v>
      </c>
      <c r="L11" s="729">
        <f>VLOOKUP(A11,'[16]2627 Band Calculations'!$A$100:$T$115,19,FALSE)</f>
        <v>165</v>
      </c>
      <c r="M11" s="496">
        <f>VLOOKUP(A11,'[16]2627 Band Calculations'!$A$98:$AN$115,40,(FALSE))</f>
        <v>59190.620689655167</v>
      </c>
      <c r="N11" s="513">
        <f>L11-(L11*(VLOOKUP(A11,'[16]2627 Band Calculations'!$A$6:$J$21,10,(FALSE))))</f>
        <v>162.72413793103448</v>
      </c>
      <c r="O11" s="496">
        <f t="shared" si="3"/>
        <v>10860.461538461539</v>
      </c>
      <c r="P11" s="514">
        <f>'[16]2526 Local Protection'!L83</f>
        <v>13773.37936964817</v>
      </c>
      <c r="Q11" s="514">
        <f>K11+P11</f>
        <v>2602563.2414386137</v>
      </c>
      <c r="R11" s="496">
        <f>L11*10000</f>
        <v>1650000</v>
      </c>
      <c r="S11" s="496">
        <f>IF(R11&gt;Q11,(R11-Q11),(0))</f>
        <v>0</v>
      </c>
      <c r="T11" s="506">
        <f>Q11/L11</f>
        <v>15773.110554173416</v>
      </c>
      <c r="U11" s="506">
        <f>L11*10000</f>
        <v>1650000</v>
      </c>
      <c r="V11" s="506"/>
      <c r="W11" s="506"/>
      <c r="X11" s="506">
        <f>T11-10000</f>
        <v>5773.1105541734159</v>
      </c>
      <c r="Y11" s="511">
        <f>Q11-U11</f>
        <v>952563.24143861374</v>
      </c>
      <c r="Z11" s="511">
        <f>U11+Y11</f>
        <v>2602563.2414386137</v>
      </c>
      <c r="AA11" s="511">
        <f>Q11-Z11</f>
        <v>0</v>
      </c>
      <c r="AB11" s="475"/>
      <c r="AC11" s="496"/>
      <c r="AD11" s="496">
        <f t="shared" si="12"/>
        <v>2555093.2414386137</v>
      </c>
      <c r="AE11" s="496"/>
      <c r="AF11" s="730"/>
    </row>
    <row r="12" spans="1:33" x14ac:dyDescent="0.25">
      <c r="A12" s="482">
        <v>9257009</v>
      </c>
      <c r="B12" s="480" t="str">
        <f>VLOOKUP(A12,'2627 Places &amp; Banding'!$A$5:$B$20,2,(FALSE))</f>
        <v>Tulip Academy</v>
      </c>
      <c r="C12" s="510" t="s">
        <v>345</v>
      </c>
      <c r="D12" s="511">
        <v>718458</v>
      </c>
      <c r="E12" s="511">
        <v>173557</v>
      </c>
      <c r="F12" s="519"/>
      <c r="G12" s="516">
        <f>SUM('[16]2526 School Size Ranges'!H6,'[16]2526 School Size Ranges'!I6,'[16]2526 School Size Ranges'!H8,'[16]2526 School Size Ranges'!I8)-D12-E12+76601</f>
        <v>389126</v>
      </c>
      <c r="H12" s="512">
        <f>VLOOKUP(A12,'[16]2627 Band Calculations'!$A$100:$T$115,10,FALSE)</f>
        <v>2920658.7012987011</v>
      </c>
      <c r="I12" s="511">
        <f>VLOOKUP(A12,'2627 Places &amp; Banding'!$A$5:$AI$20,35,(FALSE))</f>
        <v>60095</v>
      </c>
      <c r="J12" s="511">
        <f t="shared" si="1"/>
        <v>4261894.7012987006</v>
      </c>
      <c r="K12" s="512">
        <f>J12-F12-G12</f>
        <v>3872768.7012987006</v>
      </c>
      <c r="L12" s="729">
        <f>VLOOKUP(A12,'[16]2627 Band Calculations'!$A$100:$T$115,19,FALSE)</f>
        <v>240.00000000000003</v>
      </c>
      <c r="M12" s="496">
        <f>VLOOKUP(A12,'[16]2627 Band Calculations'!$A$98:$AN$115,40,(FALSE))</f>
        <v>459362.07792207785</v>
      </c>
      <c r="N12" s="513">
        <f>L12-(L12*(VLOOKUP(A12,'[16]2627 Band Calculations'!$A$6:$J$21,10,(FALSE))))</f>
        <v>222.33766233766235</v>
      </c>
      <c r="O12" s="496">
        <f t="shared" si="3"/>
        <v>11070.084112149532</v>
      </c>
      <c r="P12" s="514">
        <f>'[16]2526 Local Protection'!L101</f>
        <v>25360.054754919554</v>
      </c>
      <c r="Q12" s="514">
        <f t="shared" si="4"/>
        <v>3898128.75605362</v>
      </c>
      <c r="R12" s="496">
        <f t="shared" si="5"/>
        <v>2400000.0000000005</v>
      </c>
      <c r="S12" s="496">
        <f t="shared" si="6"/>
        <v>0</v>
      </c>
      <c r="T12" s="506">
        <f t="shared" si="7"/>
        <v>16242.203150223415</v>
      </c>
      <c r="U12" s="506">
        <f t="shared" si="0"/>
        <v>2400000.0000000005</v>
      </c>
      <c r="V12" s="506"/>
      <c r="W12" s="506"/>
      <c r="X12" s="506">
        <f t="shared" si="8"/>
        <v>6242.2031502234149</v>
      </c>
      <c r="Y12" s="511">
        <f t="shared" si="9"/>
        <v>1498128.7560536196</v>
      </c>
      <c r="Z12" s="511">
        <f t="shared" si="10"/>
        <v>3898128.75605362</v>
      </c>
      <c r="AA12" s="511">
        <f t="shared" si="11"/>
        <v>0</v>
      </c>
      <c r="AB12" s="475"/>
      <c r="AC12" s="496"/>
      <c r="AD12" s="496">
        <f t="shared" si="12"/>
        <v>4227159.75605362</v>
      </c>
      <c r="AE12" s="496"/>
      <c r="AF12" s="730"/>
    </row>
    <row r="13" spans="1:33" x14ac:dyDescent="0.25">
      <c r="A13" s="482">
        <v>9257029</v>
      </c>
      <c r="B13" s="480" t="str">
        <f>VLOOKUP(A13,'2627 Places &amp; Banding'!$A$5:$B$20,2,(FALSE))</f>
        <v>Greenfields Academy</v>
      </c>
      <c r="C13" s="510" t="s">
        <v>337</v>
      </c>
      <c r="D13" s="511">
        <v>434185</v>
      </c>
      <c r="E13" s="511">
        <v>102930</v>
      </c>
      <c r="F13" s="731">
        <v>259479</v>
      </c>
      <c r="G13" s="511"/>
      <c r="H13" s="512">
        <f>VLOOKUP(A13,'[16]2627 Band Calculations'!$A$100:$T$115,10,FALSE)</f>
        <v>1314870</v>
      </c>
      <c r="I13" s="511">
        <f>VLOOKUP(A13,'2627 Places &amp; Banding'!$A$5:$AI$20,35,(FALSE))</f>
        <v>23230</v>
      </c>
      <c r="J13" s="511">
        <f t="shared" si="1"/>
        <v>2134694</v>
      </c>
      <c r="K13" s="512">
        <f t="shared" si="2"/>
        <v>1875215</v>
      </c>
      <c r="L13" s="729">
        <f>VLOOKUP(A13,'[16]2627 Band Calculations'!$A$100:$T$115,19,FALSE)</f>
        <v>82</v>
      </c>
      <c r="M13" s="496">
        <f>VLOOKUP(A13,'[16]2627 Band Calculations'!$A$98:$AN$115,40,(FALSE))</f>
        <v>0</v>
      </c>
      <c r="N13" s="513">
        <f>L13-(L13*(VLOOKUP(A13,'[16]2627 Band Calculations'!$A$6:$J$21,10,(FALSE))))</f>
        <v>82</v>
      </c>
      <c r="O13" s="496">
        <f t="shared" si="3"/>
        <v>16035</v>
      </c>
      <c r="P13" s="514">
        <f>'[16]2526 Local Protection'!L110</f>
        <v>0</v>
      </c>
      <c r="Q13" s="514">
        <f>K13+P13</f>
        <v>1875215</v>
      </c>
      <c r="R13" s="496">
        <f>L13*10000</f>
        <v>820000</v>
      </c>
      <c r="S13" s="496">
        <f>IF(R13&gt;Q13,(R13-Q13),(0))</f>
        <v>0</v>
      </c>
      <c r="T13" s="506">
        <f>Q13/L13</f>
        <v>22868.475609756097</v>
      </c>
      <c r="U13" s="506">
        <f>L13*10000</f>
        <v>820000</v>
      </c>
      <c r="V13" s="506"/>
      <c r="W13" s="506"/>
      <c r="X13" s="506">
        <f>T13-10000</f>
        <v>12868.475609756097</v>
      </c>
      <c r="Y13" s="511">
        <f>Q13-U13</f>
        <v>1055215</v>
      </c>
      <c r="Z13" s="511">
        <f>U13+Y13</f>
        <v>1875215</v>
      </c>
      <c r="AA13" s="511">
        <f>Q13-Z13</f>
        <v>0</v>
      </c>
      <c r="AB13" s="475"/>
      <c r="AC13" s="496"/>
      <c r="AD13" s="496">
        <f t="shared" si="12"/>
        <v>1851985</v>
      </c>
      <c r="AE13" s="496"/>
      <c r="AF13" s="730"/>
    </row>
    <row r="14" spans="1:33" x14ac:dyDescent="0.25">
      <c r="A14" s="482">
        <v>9257032</v>
      </c>
      <c r="B14" s="480" t="str">
        <f>VLOOKUP(A14,'2627 Places &amp; Banding'!$A$5:$B$20,2,(FALSE))</f>
        <v>Athena School</v>
      </c>
      <c r="C14" s="510" t="s">
        <v>339</v>
      </c>
      <c r="D14" s="511">
        <v>399637</v>
      </c>
      <c r="E14" s="511">
        <v>102930</v>
      </c>
      <c r="F14" s="731">
        <v>259479</v>
      </c>
      <c r="G14" s="516">
        <f>(157287+35349)</f>
        <v>192636</v>
      </c>
      <c r="H14" s="512">
        <f>VLOOKUP(A14,'[16]2627 Band Calculations'!$A$100:$T$115,10,FALSE)</f>
        <v>1876095</v>
      </c>
      <c r="I14" s="511">
        <f>VLOOKUP(A14,'2627 Places &amp; Banding'!$A$5:$AI$20,35,(FALSE))</f>
        <v>35855</v>
      </c>
      <c r="J14" s="511">
        <f t="shared" si="1"/>
        <v>2866632</v>
      </c>
      <c r="K14" s="512">
        <f t="shared" si="2"/>
        <v>2414517</v>
      </c>
      <c r="L14" s="729">
        <f>VLOOKUP(A14,'[16]2627 Band Calculations'!$A$100:$T$115,19,FALSE)</f>
        <v>117</v>
      </c>
      <c r="M14" s="496">
        <f>VLOOKUP(A14,'[16]2627 Band Calculations'!$A$98:$AN$115,40,(FALSE))</f>
        <v>0</v>
      </c>
      <c r="N14" s="513">
        <f>L14-(L14*(VLOOKUP(A14,'[16]2627 Band Calculations'!$A$6:$J$21,10,(FALSE))))</f>
        <v>117</v>
      </c>
      <c r="O14" s="496">
        <f t="shared" si="3"/>
        <v>16035</v>
      </c>
      <c r="P14" s="514">
        <f>'[16]2526 Local Protection'!L119</f>
        <v>0</v>
      </c>
      <c r="Q14" s="514">
        <f>K14+P14</f>
        <v>2414517</v>
      </c>
      <c r="R14" s="496">
        <f>L14*10000</f>
        <v>1170000</v>
      </c>
      <c r="S14" s="496">
        <f>IF(R14&gt;Q14,(R14-Q14),(0))</f>
        <v>0</v>
      </c>
      <c r="T14" s="506">
        <f>Q14/L14</f>
        <v>20636.897435897437</v>
      </c>
      <c r="U14" s="506">
        <f>L14*10000</f>
        <v>1170000</v>
      </c>
      <c r="V14" s="506"/>
      <c r="W14" s="506"/>
      <c r="X14" s="506">
        <f>T14-10000</f>
        <v>10636.897435897437</v>
      </c>
      <c r="Y14" s="511">
        <f>Q14-U14</f>
        <v>1244517</v>
      </c>
      <c r="Z14" s="511">
        <f>U14+Y14</f>
        <v>2414517</v>
      </c>
      <c r="AA14" s="511">
        <f>Q14-Z14</f>
        <v>0</v>
      </c>
      <c r="AB14" s="475"/>
      <c r="AC14" s="496"/>
      <c r="AD14" s="496">
        <f>D14+E14+G14+H14+P14</f>
        <v>2571298</v>
      </c>
      <c r="AE14" s="496"/>
      <c r="AF14" s="730"/>
    </row>
    <row r="15" spans="1:33" x14ac:dyDescent="0.25">
      <c r="A15" s="482">
        <v>9257030</v>
      </c>
      <c r="B15" s="480" t="str">
        <f>VLOOKUP(A15,'2627 Places &amp; Banding'!$A$5:$B$20,2,(FALSE))</f>
        <v>Woodlands Academy</v>
      </c>
      <c r="C15" s="510" t="s">
        <v>337</v>
      </c>
      <c r="D15" s="511">
        <v>434185</v>
      </c>
      <c r="E15" s="511">
        <v>102930</v>
      </c>
      <c r="F15" s="731">
        <v>271457</v>
      </c>
      <c r="G15" s="511"/>
      <c r="H15" s="512">
        <f>VLOOKUP(A15,'[16]2627 Band Calculations'!$A$100:$T$115,10,FALSE)</f>
        <v>1393988.5975609757</v>
      </c>
      <c r="I15" s="511">
        <f>VLOOKUP(A15,'2627 Places &amp; Banding'!$A$5:$AI$20,35,(FALSE))</f>
        <v>27775</v>
      </c>
      <c r="J15" s="511">
        <f t="shared" si="1"/>
        <v>2230335.5975609757</v>
      </c>
      <c r="K15" s="512">
        <f t="shared" si="2"/>
        <v>1958878.5975609757</v>
      </c>
      <c r="L15" s="729">
        <f>VLOOKUP(A15,'[16]2627 Band Calculations'!$A$100:$T$115,19,FALSE)</f>
        <v>85</v>
      </c>
      <c r="M15" s="496">
        <f>VLOOKUP(A15,'[16]2627 Band Calculations'!$A$98:$AN$115,40,(FALSE))</f>
        <v>80878.53658536583</v>
      </c>
      <c r="N15" s="513">
        <f>L15-(L15*(VLOOKUP(A15,'[16]2627 Band Calculations'!$A$6:$J$21,10,(FALSE))))</f>
        <v>81.890243902439025</v>
      </c>
      <c r="O15" s="496">
        <f t="shared" si="3"/>
        <v>16035</v>
      </c>
      <c r="P15" s="514">
        <f>'[16]2526 Local Protection'!L128</f>
        <v>0</v>
      </c>
      <c r="Q15" s="514">
        <f>K15+P15</f>
        <v>1958878.5975609757</v>
      </c>
      <c r="R15" s="496">
        <f>L15*10000</f>
        <v>850000</v>
      </c>
      <c r="S15" s="496">
        <f>IF(R15&gt;Q15,(R15-Q15),(0))</f>
        <v>0</v>
      </c>
      <c r="T15" s="506">
        <f>Q15/L15</f>
        <v>23045.630559540892</v>
      </c>
      <c r="U15" s="506">
        <f>L15*10000</f>
        <v>850000</v>
      </c>
      <c r="V15" s="506"/>
      <c r="W15" s="506"/>
      <c r="X15" s="506">
        <f>T15-10000</f>
        <v>13045.630559540892</v>
      </c>
      <c r="Y15" s="511">
        <f>Q15-U15</f>
        <v>1108878.5975609757</v>
      </c>
      <c r="Z15" s="511">
        <f>U15+Y15</f>
        <v>1958878.5975609757</v>
      </c>
      <c r="AA15" s="511">
        <f>Q15-Z15</f>
        <v>0</v>
      </c>
      <c r="AB15" s="475"/>
      <c r="AC15" s="496"/>
      <c r="AD15" s="496">
        <f t="shared" si="12"/>
        <v>1931103.5975609757</v>
      </c>
      <c r="AE15" s="496"/>
      <c r="AF15" s="730"/>
    </row>
    <row r="16" spans="1:33" x14ac:dyDescent="0.25">
      <c r="A16" s="482">
        <v>9257028</v>
      </c>
      <c r="B16" s="480" t="str">
        <f>VLOOKUP(A16,'2627 Places &amp; Banding'!$A$5:$B$20,2,(FALSE))</f>
        <v>Willoughby Academy</v>
      </c>
      <c r="C16" s="732" t="s">
        <v>920</v>
      </c>
      <c r="D16" s="511">
        <v>666385</v>
      </c>
      <c r="E16" s="511">
        <v>167447</v>
      </c>
      <c r="F16" s="511"/>
      <c r="G16" s="511"/>
      <c r="H16" s="512">
        <f>VLOOKUP(A16,'[16]2627 Band Calculations'!$A$100:$T$115,10,FALSE)</f>
        <v>2386890.9850746267</v>
      </c>
      <c r="I16" s="511">
        <f>VLOOKUP(A16,'2627 Places &amp; Banding'!$A$5:$AI$20,35,(FALSE))</f>
        <v>28280</v>
      </c>
      <c r="J16" s="511">
        <f t="shared" si="1"/>
        <v>3249002.9850746267</v>
      </c>
      <c r="K16" s="512">
        <f t="shared" si="2"/>
        <v>3249002.9850746267</v>
      </c>
      <c r="L16" s="729">
        <f>VLOOKUP(A16,'[16]2627 Band Calculations'!$A$100:$T$115,19,FALSE)</f>
        <v>148</v>
      </c>
      <c r="M16" s="496">
        <f>VLOOKUP(A16,'[16]2627 Band Calculations'!$A$98:$AN$115,40,(FALSE))</f>
        <v>746856.59701492544</v>
      </c>
      <c r="N16" s="513">
        <f>L16-(L16*(VLOOKUP(A16,'[16]2627 Band Calculations'!$A$6:$J$21,10,(FALSE))))</f>
        <v>119.28358208955224</v>
      </c>
      <c r="O16" s="496">
        <f t="shared" si="3"/>
        <v>13749.037037037035</v>
      </c>
      <c r="P16" s="514">
        <f>'[16]2526 Local Protection'!L137</f>
        <v>0</v>
      </c>
      <c r="Q16" s="514">
        <f t="shared" si="4"/>
        <v>3249002.9850746267</v>
      </c>
      <c r="R16" s="496">
        <f t="shared" si="5"/>
        <v>1480000</v>
      </c>
      <c r="S16" s="496">
        <f t="shared" si="6"/>
        <v>0</v>
      </c>
      <c r="T16" s="506">
        <f t="shared" si="7"/>
        <v>21952.722872125858</v>
      </c>
      <c r="U16" s="506">
        <f t="shared" si="0"/>
        <v>1480000</v>
      </c>
      <c r="V16" s="506"/>
      <c r="W16" s="506"/>
      <c r="X16" s="506">
        <f t="shared" si="8"/>
        <v>11952.722872125858</v>
      </c>
      <c r="Y16" s="511">
        <f t="shared" si="9"/>
        <v>1769002.9850746267</v>
      </c>
      <c r="Z16" s="511">
        <f t="shared" si="10"/>
        <v>3249002.9850746267</v>
      </c>
      <c r="AA16" s="511">
        <f t="shared" si="11"/>
        <v>0</v>
      </c>
      <c r="AB16" s="475"/>
      <c r="AC16" s="496"/>
      <c r="AD16" s="496">
        <f t="shared" si="12"/>
        <v>3220722.9850746267</v>
      </c>
      <c r="AE16" s="496"/>
      <c r="AF16" s="730"/>
    </row>
    <row r="17" spans="1:33" x14ac:dyDescent="0.25">
      <c r="A17" s="482">
        <v>9257021</v>
      </c>
      <c r="B17" s="480" t="str">
        <f>VLOOKUP(A17,'2627 Places &amp; Banding'!$A$5:$B$20,2,(FALSE))</f>
        <v>St Lawrence School</v>
      </c>
      <c r="C17" s="732" t="s">
        <v>333</v>
      </c>
      <c r="D17" s="511">
        <v>614312</v>
      </c>
      <c r="E17" s="511">
        <v>161337</v>
      </c>
      <c r="F17" s="511"/>
      <c r="G17" s="511"/>
      <c r="H17" s="512">
        <f>VLOOKUP(A17,'[16]2627 Band Calculations'!$A$100:$T$115,10,FALSE)</f>
        <v>1890313.220338983</v>
      </c>
      <c r="I17" s="511">
        <f>VLOOKUP(A17,'2627 Places &amp; Banding'!$A$5:$AI$20,35,(FALSE))</f>
        <v>58580</v>
      </c>
      <c r="J17" s="511">
        <f t="shared" si="1"/>
        <v>2724542.220338983</v>
      </c>
      <c r="K17" s="512">
        <f t="shared" si="2"/>
        <v>2724542.220338983</v>
      </c>
      <c r="L17" s="729">
        <f>VLOOKUP(A17,'[16]2627 Band Calculations'!$A$100:$T$115,19,FALSE)</f>
        <v>180</v>
      </c>
      <c r="M17" s="496">
        <f>VLOOKUP(A17,'[16]2627 Band Calculations'!$A$98:$AN$115,40,(FALSE))</f>
        <v>105795.25423728811</v>
      </c>
      <c r="N17" s="513">
        <f>L17-(L17*(VLOOKUP(A17,'[16]2627 Band Calculations'!$A$6:$J$21,10,(FALSE))))</f>
        <v>175.93220338983051</v>
      </c>
      <c r="O17" s="496">
        <f t="shared" si="3"/>
        <v>10143.21387283237</v>
      </c>
      <c r="P17" s="514">
        <f>'[16]2526 Local Protection'!L146</f>
        <v>0</v>
      </c>
      <c r="Q17" s="514">
        <f t="shared" si="4"/>
        <v>2724542.220338983</v>
      </c>
      <c r="R17" s="496">
        <f t="shared" si="5"/>
        <v>1800000</v>
      </c>
      <c r="S17" s="496">
        <f t="shared" si="6"/>
        <v>0</v>
      </c>
      <c r="T17" s="506">
        <f t="shared" si="7"/>
        <v>15136.345668549906</v>
      </c>
      <c r="U17" s="506">
        <f t="shared" si="0"/>
        <v>1800000</v>
      </c>
      <c r="V17" s="506"/>
      <c r="W17" s="506"/>
      <c r="X17" s="506">
        <f t="shared" si="8"/>
        <v>5136.3456685499059</v>
      </c>
      <c r="Y17" s="511">
        <f t="shared" si="9"/>
        <v>924542.220338983</v>
      </c>
      <c r="Z17" s="511">
        <f t="shared" si="10"/>
        <v>2724542.220338983</v>
      </c>
      <c r="AA17" s="511">
        <f t="shared" si="11"/>
        <v>0</v>
      </c>
      <c r="AB17" s="475"/>
      <c r="AC17" s="496"/>
      <c r="AD17" s="496">
        <f t="shared" si="12"/>
        <v>2665962.220338983</v>
      </c>
      <c r="AE17" s="496"/>
      <c r="AF17" s="730"/>
    </row>
    <row r="18" spans="1:33" ht="12.75" customHeight="1" x14ac:dyDescent="0.25">
      <c r="A18" s="482">
        <v>9257015</v>
      </c>
      <c r="B18" s="480" t="str">
        <f>VLOOKUP(A18,'2627 Places &amp; Banding'!$A$5:$B$20,2,(FALSE))</f>
        <v>St Christopher's Special School</v>
      </c>
      <c r="C18" s="510" t="s">
        <v>347</v>
      </c>
      <c r="D18" s="511">
        <v>906868</v>
      </c>
      <c r="E18" s="511">
        <v>199376.10852500008</v>
      </c>
      <c r="F18" s="511"/>
      <c r="G18" s="520">
        <f>SUM('[16]2526 School Size Ranges'!H8,'[16]2526 School Size Ranges'!I8,'[16]2526 School Size Ranges'!H10,'[16]2526 School Size Ranges'!I10)-D18-E18+116366</f>
        <v>439861.89147499995</v>
      </c>
      <c r="H18" s="512">
        <f>VLOOKUP(A18,'[16]2627 Band Calculations'!$A$100:$T$115,10,FALSE)</f>
        <v>4636437</v>
      </c>
      <c r="I18" s="511">
        <f>VLOOKUP(A18,'2627 Places &amp; Banding'!$A$5:$AI$20,35,(FALSE))</f>
        <v>79790</v>
      </c>
      <c r="J18" s="511">
        <f t="shared" si="1"/>
        <v>6262333</v>
      </c>
      <c r="K18" s="512">
        <f t="shared" si="2"/>
        <v>5822471.1085250005</v>
      </c>
      <c r="L18" s="729">
        <f>VLOOKUP(A18,'[16]2627 Band Calculations'!$A$100:$T$115,19,FALSE)</f>
        <v>320</v>
      </c>
      <c r="M18" s="496">
        <f>VLOOKUP(A18,'[16]2627 Band Calculations'!$A$98:$AN$115,40,(FALSE))</f>
        <v>520160</v>
      </c>
      <c r="N18" s="513">
        <f>L18-(L18*(VLOOKUP(A18,'[16]2627 Band Calculations'!$A$6:$J$21,10,(FALSE))))</f>
        <v>300</v>
      </c>
      <c r="O18" s="496">
        <f t="shared" si="3"/>
        <v>13720.923333333334</v>
      </c>
      <c r="P18" s="514">
        <f>'[16]2526 Local Protection'!L155</f>
        <v>0</v>
      </c>
      <c r="Q18" s="514">
        <f t="shared" si="4"/>
        <v>5822471.1085250005</v>
      </c>
      <c r="R18" s="496">
        <f t="shared" si="5"/>
        <v>3200000</v>
      </c>
      <c r="S18" s="496">
        <f t="shared" si="6"/>
        <v>0</v>
      </c>
      <c r="T18" s="506">
        <f t="shared" si="7"/>
        <v>18195.222214140627</v>
      </c>
      <c r="U18" s="506">
        <f t="shared" si="0"/>
        <v>3200000</v>
      </c>
      <c r="V18" s="506"/>
      <c r="W18" s="506"/>
      <c r="X18" s="506">
        <f t="shared" si="8"/>
        <v>8195.2222141406273</v>
      </c>
      <c r="Y18" s="511">
        <f t="shared" si="9"/>
        <v>2622471.1085250005</v>
      </c>
      <c r="Z18" s="511">
        <f t="shared" si="10"/>
        <v>5822471.1085250005</v>
      </c>
      <c r="AA18" s="511">
        <f t="shared" si="11"/>
        <v>0</v>
      </c>
      <c r="AB18" s="475"/>
      <c r="AC18" s="496"/>
      <c r="AD18" s="496">
        <f t="shared" si="12"/>
        <v>6182543</v>
      </c>
      <c r="AE18" s="496"/>
      <c r="AF18" s="730"/>
    </row>
    <row r="19" spans="1:33" x14ac:dyDescent="0.25">
      <c r="A19" s="482">
        <v>9257016</v>
      </c>
      <c r="B19" s="480" t="str">
        <f>VLOOKUP(A19,'2627 Places &amp; Banding'!$A$5:$B$20,2,(FALSE))</f>
        <v>St Francis Special Needs School</v>
      </c>
      <c r="C19" s="510" t="s">
        <v>349</v>
      </c>
      <c r="D19" s="511">
        <v>811683</v>
      </c>
      <c r="E19" s="511">
        <v>185974</v>
      </c>
      <c r="F19" s="511"/>
      <c r="G19" s="511"/>
      <c r="H19" s="512">
        <f>VLOOKUP(A19,'[16]2627 Band Calculations'!$A$100:$T$115,10,FALSE)</f>
        <v>3604018.9005847946</v>
      </c>
      <c r="I19" s="511">
        <f>VLOOKUP(A19,'2627 Places &amp; Banding'!$A$5:$AI$20,35,(FALSE))</f>
        <v>52015</v>
      </c>
      <c r="J19" s="511">
        <f t="shared" si="1"/>
        <v>4653690.9005847946</v>
      </c>
      <c r="K19" s="512">
        <f t="shared" si="2"/>
        <v>4653690.9005847946</v>
      </c>
      <c r="L19" s="729">
        <f>VLOOKUP(A19,'[16]2627 Band Calculations'!$A$100:$T$115,19,FALSE)</f>
        <v>176</v>
      </c>
      <c r="M19" s="496">
        <f>VLOOKUP(A19,'[16]2627 Band Calculations'!$A$98:$AN$115,40,(FALSE))</f>
        <v>2061172.0233918126</v>
      </c>
      <c r="N19" s="513">
        <f>L19-(L19*(VLOOKUP(A19,'[16]2627 Band Calculations'!$A$6:$J$21,10,(FALSE))))</f>
        <v>96.748538011695913</v>
      </c>
      <c r="O19" s="496">
        <f t="shared" si="3"/>
        <v>15946.978723404249</v>
      </c>
      <c r="P19" s="514">
        <f>'[16]2526 Local Protection'!L164</f>
        <v>0</v>
      </c>
      <c r="Q19" s="514">
        <f>K19+P19</f>
        <v>4653690.9005847946</v>
      </c>
      <c r="R19" s="496">
        <f t="shared" si="5"/>
        <v>1760000</v>
      </c>
      <c r="S19" s="496">
        <f t="shared" si="6"/>
        <v>0</v>
      </c>
      <c r="T19" s="506">
        <f t="shared" si="7"/>
        <v>26441.425571504515</v>
      </c>
      <c r="U19" s="506">
        <f t="shared" si="0"/>
        <v>1760000</v>
      </c>
      <c r="V19" s="506"/>
      <c r="W19" s="506"/>
      <c r="X19" s="506">
        <f t="shared" si="8"/>
        <v>16441.425571504515</v>
      </c>
      <c r="Y19" s="511">
        <f t="shared" si="9"/>
        <v>2893690.9005847946</v>
      </c>
      <c r="Z19" s="511">
        <f t="shared" si="10"/>
        <v>4653690.9005847946</v>
      </c>
      <c r="AA19" s="511">
        <f t="shared" si="11"/>
        <v>0</v>
      </c>
      <c r="AB19" s="475"/>
      <c r="AC19" s="496"/>
      <c r="AD19" s="496">
        <f t="shared" si="12"/>
        <v>4601675.9005847946</v>
      </c>
      <c r="AE19" s="496"/>
      <c r="AF19" s="730"/>
    </row>
    <row r="20" spans="1:33" x14ac:dyDescent="0.25">
      <c r="A20" s="490"/>
      <c r="C20" s="476"/>
      <c r="D20" s="496"/>
      <c r="E20" s="496"/>
      <c r="F20" s="496"/>
      <c r="G20" s="496"/>
      <c r="H20" s="496"/>
      <c r="I20" s="496"/>
      <c r="J20" s="476"/>
      <c r="K20" s="475"/>
      <c r="L20" s="476"/>
      <c r="M20" s="475"/>
      <c r="T20" s="496"/>
      <c r="U20" s="476"/>
      <c r="Y20" s="475"/>
      <c r="AA20" s="476"/>
      <c r="AB20" s="475"/>
    </row>
    <row r="21" spans="1:33" ht="13.5" customHeight="1" thickBot="1" x14ac:dyDescent="0.3">
      <c r="A21" s="490"/>
      <c r="D21" s="528">
        <f t="shared" ref="D21:N21" si="13">SUM(D4:D19)</f>
        <v>9337693</v>
      </c>
      <c r="E21" s="528">
        <f t="shared" si="13"/>
        <v>2329693.108525</v>
      </c>
      <c r="F21" s="528">
        <f t="shared" si="13"/>
        <v>1038272</v>
      </c>
      <c r="G21" s="528">
        <f t="shared" si="13"/>
        <v>1402885.891475</v>
      </c>
      <c r="H21" s="528">
        <f t="shared" si="13"/>
        <v>33954087.305636987</v>
      </c>
      <c r="I21" s="528">
        <f t="shared" si="13"/>
        <v>686295</v>
      </c>
      <c r="J21" s="528">
        <f t="shared" si="13"/>
        <v>48748926.305636987</v>
      </c>
      <c r="K21" s="528">
        <f t="shared" si="13"/>
        <v>46307768.414161988</v>
      </c>
      <c r="L21" s="529">
        <f t="shared" si="13"/>
        <v>2468.416666666667</v>
      </c>
      <c r="M21" s="528">
        <f t="shared" si="13"/>
        <v>5384753.4739531111</v>
      </c>
      <c r="N21" s="529">
        <f t="shared" si="13"/>
        <v>2261.3744691138709</v>
      </c>
      <c r="O21" s="529"/>
      <c r="P21" s="528">
        <f>SUM(P4:P19)</f>
        <v>47993.277381166634</v>
      </c>
      <c r="Q21" s="528">
        <f>SUM(Q4:Q19)</f>
        <v>46355761.691543147</v>
      </c>
      <c r="R21" s="528">
        <f>SUM(R4:R19)</f>
        <v>24684166.666666668</v>
      </c>
      <c r="T21" s="496"/>
      <c r="U21" s="528">
        <f>SUM(U4:U19)</f>
        <v>24684166.666666668</v>
      </c>
      <c r="V21" s="528">
        <f>SUM(V4:V19)</f>
        <v>0</v>
      </c>
      <c r="W21" s="528">
        <f>SUM(W4:W19)</f>
        <v>0</v>
      </c>
      <c r="X21" s="496"/>
      <c r="Y21" s="528">
        <f>SUM(Y4:Y19)</f>
        <v>21671595.024876483</v>
      </c>
      <c r="Z21" s="528">
        <f>SUM(Z4:Z19)</f>
        <v>46355761.691543147</v>
      </c>
      <c r="AA21" s="476"/>
      <c r="AB21" s="475"/>
      <c r="AD21" s="528">
        <f>SUM(AD4:AD19)</f>
        <v>47072352.583018146</v>
      </c>
    </row>
    <row r="22" spans="1:33" ht="13" x14ac:dyDescent="0.3">
      <c r="A22" s="490"/>
      <c r="C22" s="521"/>
      <c r="D22" s="522"/>
      <c r="E22" s="522"/>
      <c r="F22" s="522"/>
      <c r="G22" s="522"/>
      <c r="H22" s="522"/>
      <c r="I22" s="522"/>
      <c r="J22" s="522"/>
      <c r="K22" s="523"/>
      <c r="L22" s="523"/>
      <c r="M22" s="522"/>
      <c r="N22" s="524"/>
      <c r="O22" s="522"/>
      <c r="P22" s="522"/>
      <c r="Q22" s="522"/>
      <c r="R22" s="525"/>
      <c r="T22" s="496"/>
      <c r="V22" s="496"/>
      <c r="W22" s="496"/>
      <c r="X22" s="490"/>
      <c r="Y22" s="475"/>
      <c r="AA22" s="476"/>
      <c r="AB22" s="475"/>
      <c r="AG22" s="490"/>
    </row>
    <row r="23" spans="1:33" ht="13" x14ac:dyDescent="0.3">
      <c r="B23" s="733" t="s">
        <v>873</v>
      </c>
      <c r="C23" s="476"/>
      <c r="D23" s="734"/>
      <c r="E23" s="734"/>
      <c r="F23" s="734"/>
      <c r="G23" s="734"/>
      <c r="H23" s="734"/>
      <c r="I23" s="734"/>
      <c r="J23" s="734"/>
      <c r="K23" s="734"/>
      <c r="L23" s="735"/>
      <c r="M23" s="475"/>
      <c r="N23" s="736"/>
      <c r="O23" s="736"/>
      <c r="P23" s="737"/>
      <c r="T23" s="496"/>
      <c r="U23" s="476"/>
      <c r="Z23" s="476" t="s">
        <v>874</v>
      </c>
      <c r="AA23" s="476"/>
      <c r="AB23" s="475"/>
    </row>
    <row r="24" spans="1:33" ht="13" x14ac:dyDescent="0.3">
      <c r="B24" s="476"/>
      <c r="D24" s="496"/>
      <c r="E24" s="738"/>
      <c r="J24" s="476"/>
      <c r="K24" s="475"/>
      <c r="L24" s="513"/>
      <c r="M24" s="475"/>
      <c r="Q24" s="496"/>
      <c r="R24" s="789" t="s">
        <v>895</v>
      </c>
      <c r="S24" s="790"/>
      <c r="T24" s="514"/>
      <c r="U24" s="476"/>
      <c r="AA24" s="476"/>
      <c r="AB24" s="475"/>
    </row>
    <row r="25" spans="1:33" ht="50.5" x14ac:dyDescent="0.3">
      <c r="A25" s="498" t="s">
        <v>278</v>
      </c>
      <c r="B25" s="480" t="s">
        <v>279</v>
      </c>
      <c r="C25" s="499" t="s">
        <v>311</v>
      </c>
      <c r="D25" s="500" t="s">
        <v>312</v>
      </c>
      <c r="E25" s="500" t="s">
        <v>313</v>
      </c>
      <c r="F25" s="501" t="s">
        <v>314</v>
      </c>
      <c r="G25" s="501" t="s">
        <v>315</v>
      </c>
      <c r="H25" s="499" t="s">
        <v>316</v>
      </c>
      <c r="I25" s="501" t="s">
        <v>317</v>
      </c>
      <c r="J25" s="499" t="s">
        <v>318</v>
      </c>
      <c r="K25" s="739" t="s">
        <v>319</v>
      </c>
      <c r="L25" s="501" t="s">
        <v>320</v>
      </c>
      <c r="M25" s="740" t="s">
        <v>260</v>
      </c>
      <c r="N25" s="741" t="s">
        <v>321</v>
      </c>
      <c r="O25" s="742" t="s">
        <v>322</v>
      </c>
      <c r="P25" s="706" t="s">
        <v>323</v>
      </c>
      <c r="Q25" s="481" t="s">
        <v>324</v>
      </c>
      <c r="R25" s="773" t="s">
        <v>896</v>
      </c>
      <c r="S25" s="774" t="s">
        <v>897</v>
      </c>
      <c r="T25" s="476"/>
      <c r="U25" s="476"/>
      <c r="Y25" s="475"/>
      <c r="Z25" s="476"/>
      <c r="AB25" s="475"/>
    </row>
    <row r="26" spans="1:33" ht="13" x14ac:dyDescent="0.3">
      <c r="A26" s="482">
        <v>9257010</v>
      </c>
      <c r="B26" s="480" t="str">
        <f>VLOOKUP(A26,'2627 Places &amp; Banding'!$A$5:$B$20,2,(FALSE))</f>
        <v>Boston Endeavour Academy</v>
      </c>
      <c r="C26" s="510" t="s">
        <v>333</v>
      </c>
      <c r="D26" s="511">
        <v>614312</v>
      </c>
      <c r="E26" s="511">
        <v>161337</v>
      </c>
      <c r="F26" s="511"/>
      <c r="G26" s="511"/>
      <c r="H26" s="512">
        <v>2108626.2167755994</v>
      </c>
      <c r="I26" s="511">
        <v>34713</v>
      </c>
      <c r="J26" s="512">
        <v>2918988.2167755994</v>
      </c>
      <c r="K26" s="743">
        <v>2918988.2167755994</v>
      </c>
      <c r="L26" s="744">
        <v>156.83333333333334</v>
      </c>
      <c r="M26" s="511">
        <v>373234.63180827885</v>
      </c>
      <c r="N26" s="744">
        <v>142.48257080610023</v>
      </c>
      <c r="O26" s="511">
        <v>12179.676258992808</v>
      </c>
      <c r="P26" s="496">
        <v>82.458329797119717</v>
      </c>
      <c r="Q26" s="496">
        <v>2919070.6751053999</v>
      </c>
      <c r="R26" s="775">
        <f>L4-L26</f>
        <v>1.1666666666666572</v>
      </c>
      <c r="S26" s="776">
        <f>Q4-Q26</f>
        <v>78236.60373721784</v>
      </c>
      <c r="T26" s="476"/>
      <c r="U26" s="476"/>
      <c r="X26" s="475"/>
      <c r="Y26" s="475"/>
      <c r="Z26" s="476"/>
      <c r="AB26" s="475"/>
    </row>
    <row r="27" spans="1:33" ht="13" x14ac:dyDescent="0.3">
      <c r="A27" s="482">
        <v>9257005</v>
      </c>
      <c r="B27" s="480" t="str">
        <f>VLOOKUP(A27,'2627 Places &amp; Banding'!$A$5:$B$20,2,(FALSE))</f>
        <v>Newton Bridge Academy</v>
      </c>
      <c r="C27" s="510" t="s">
        <v>335</v>
      </c>
      <c r="D27" s="511">
        <v>765070.5</v>
      </c>
      <c r="E27" s="511">
        <v>179765.5</v>
      </c>
      <c r="F27" s="511"/>
      <c r="G27" s="511">
        <v>381262</v>
      </c>
      <c r="H27" s="512">
        <v>3206842.705128205</v>
      </c>
      <c r="I27" s="511">
        <v>22811.399999999998</v>
      </c>
      <c r="J27" s="512">
        <v>4555752.10512821</v>
      </c>
      <c r="K27" s="743">
        <v>4174490.1051282054</v>
      </c>
      <c r="L27" s="744">
        <v>257</v>
      </c>
      <c r="M27" s="511">
        <v>457029.47008547018</v>
      </c>
      <c r="N27" s="744">
        <v>239.42735042735043</v>
      </c>
      <c r="O27" s="511">
        <v>11484.958715596329</v>
      </c>
      <c r="P27" s="496">
        <v>0</v>
      </c>
      <c r="Q27" s="496">
        <v>4174490.1051282054</v>
      </c>
      <c r="R27" s="775">
        <f t="shared" ref="R27:R41" si="14">L5-L27</f>
        <v>3.1666666666667425</v>
      </c>
      <c r="S27" s="776">
        <f t="shared" ref="S27:S41" si="15">Q5-Q27</f>
        <v>42963.335137281567</v>
      </c>
      <c r="T27" s="476"/>
      <c r="U27" s="476"/>
      <c r="X27" s="475"/>
      <c r="Y27" s="475"/>
      <c r="Z27" s="476"/>
      <c r="AB27" s="475"/>
    </row>
    <row r="28" spans="1:33" ht="13" x14ac:dyDescent="0.3">
      <c r="A28" s="482">
        <v>9257025</v>
      </c>
      <c r="B28" s="480" t="str">
        <f>VLOOKUP(A28,'2627 Places &amp; Banding'!$A$5:$B$20,2,(FALSE))</f>
        <v>St Bernards School, Louth</v>
      </c>
      <c r="C28" s="510" t="s">
        <v>337</v>
      </c>
      <c r="D28" s="511">
        <v>516137</v>
      </c>
      <c r="E28" s="511">
        <v>137954</v>
      </c>
      <c r="F28" s="511"/>
      <c r="G28" s="511"/>
      <c r="H28" s="512">
        <v>1333302.6666666665</v>
      </c>
      <c r="I28" s="511">
        <v>17852.399999999998</v>
      </c>
      <c r="J28" s="512">
        <v>2005246.0666666664</v>
      </c>
      <c r="K28" s="743">
        <v>2005246.0666666664</v>
      </c>
      <c r="L28" s="745">
        <v>110</v>
      </c>
      <c r="M28" s="746">
        <v>136232.38095238095</v>
      </c>
      <c r="N28" s="745">
        <v>104.76190476190476</v>
      </c>
      <c r="O28" s="511">
        <v>11426.579999999998</v>
      </c>
      <c r="P28" s="496">
        <v>3813.0086333454437</v>
      </c>
      <c r="Q28" s="747">
        <v>2009059.0753000118</v>
      </c>
      <c r="R28" s="775">
        <f t="shared" si="14"/>
        <v>3.1666666666666572</v>
      </c>
      <c r="S28" s="776">
        <f t="shared" si="15"/>
        <v>43177.954504884081</v>
      </c>
      <c r="T28" s="748"/>
      <c r="U28" s="748"/>
      <c r="V28" s="748"/>
      <c r="W28" s="748"/>
      <c r="X28" s="748"/>
      <c r="Y28" s="748"/>
      <c r="Z28" s="748"/>
      <c r="AB28" s="475"/>
    </row>
    <row r="29" spans="1:33" ht="13" x14ac:dyDescent="0.3">
      <c r="A29" s="482">
        <v>9257024</v>
      </c>
      <c r="B29" s="480" t="str">
        <f>VLOOKUP(A29,'2627 Places &amp; Banding'!$A$5:$B$20,2,(FALSE))</f>
        <v>The Eresby School</v>
      </c>
      <c r="C29" s="510" t="s">
        <v>339</v>
      </c>
      <c r="D29" s="511">
        <v>470457</v>
      </c>
      <c r="E29" s="511">
        <v>131813</v>
      </c>
      <c r="F29" s="511"/>
      <c r="G29" s="511"/>
      <c r="H29" s="512">
        <v>1189913.6254125412</v>
      </c>
      <c r="I29" s="511">
        <v>20331.899999999998</v>
      </c>
      <c r="J29" s="512">
        <v>1812515.5254125411</v>
      </c>
      <c r="K29" s="743">
        <v>1812515.5254125411</v>
      </c>
      <c r="L29" s="744">
        <v>108.83333333333334</v>
      </c>
      <c r="M29" s="511">
        <v>168150.73267326731</v>
      </c>
      <c r="N29" s="744">
        <v>102.36798679867988</v>
      </c>
      <c r="O29" s="511">
        <v>9981.2736842105242</v>
      </c>
      <c r="P29" s="496">
        <v>4780.2404430071419</v>
      </c>
      <c r="Q29" s="496">
        <v>1817295.7658555482</v>
      </c>
      <c r="R29" s="775">
        <f t="shared" si="14"/>
        <v>6.25</v>
      </c>
      <c r="S29" s="776">
        <f t="shared" si="15"/>
        <v>70756.973829883384</v>
      </c>
      <c r="T29" s="476"/>
      <c r="U29" s="476"/>
      <c r="X29" s="475"/>
      <c r="Y29" s="475"/>
      <c r="Z29" s="476"/>
      <c r="AB29" s="475"/>
    </row>
    <row r="30" spans="1:33" ht="13" x14ac:dyDescent="0.3">
      <c r="A30" s="482">
        <v>9257031</v>
      </c>
      <c r="B30" s="480" t="str">
        <f>VLOOKUP(A30,'2627 Places &amp; Banding'!$A$5:$B$20,2,(FALSE))</f>
        <v>Fortuna School</v>
      </c>
      <c r="C30" s="510" t="s">
        <v>337</v>
      </c>
      <c r="D30" s="511">
        <v>434185</v>
      </c>
      <c r="E30" s="511">
        <v>102930</v>
      </c>
      <c r="F30" s="749">
        <v>235145</v>
      </c>
      <c r="G30" s="511"/>
      <c r="H30" s="512">
        <v>1292153.75</v>
      </c>
      <c r="I30" s="511">
        <v>23803.199999999997</v>
      </c>
      <c r="J30" s="512">
        <v>2088216.95</v>
      </c>
      <c r="K30" s="743">
        <v>1853071.95</v>
      </c>
      <c r="L30" s="744">
        <v>80.583333333333343</v>
      </c>
      <c r="M30" s="511">
        <v>0</v>
      </c>
      <c r="N30" s="744">
        <v>80.583333333333343</v>
      </c>
      <c r="O30" s="511">
        <v>16034.999999999998</v>
      </c>
      <c r="P30" s="717">
        <v>0</v>
      </c>
      <c r="Q30" s="496">
        <v>1853071.95</v>
      </c>
      <c r="R30" s="775">
        <f t="shared" si="14"/>
        <v>0.41666666666665719</v>
      </c>
      <c r="S30" s="776">
        <f t="shared" si="15"/>
        <v>43766.858823529677</v>
      </c>
      <c r="T30" s="476"/>
      <c r="U30" s="476"/>
      <c r="X30" s="475"/>
      <c r="Y30" s="475"/>
      <c r="Z30" s="476"/>
      <c r="AB30" s="475"/>
    </row>
    <row r="31" spans="1:33" ht="13" x14ac:dyDescent="0.3">
      <c r="A31" s="482">
        <v>9257033</v>
      </c>
      <c r="B31" s="480" t="str">
        <f>VLOOKUP(A31,'2627 Places &amp; Banding'!$A$5:$B$20,2,(FALSE))</f>
        <v>Mayflower Academy Warren Wood - A Specialist Academy</v>
      </c>
      <c r="C31" s="510" t="s">
        <v>337</v>
      </c>
      <c r="D31" s="511">
        <v>516137</v>
      </c>
      <c r="E31" s="511">
        <v>137954</v>
      </c>
      <c r="F31" s="519"/>
      <c r="G31" s="511"/>
      <c r="H31" s="512">
        <v>1439652.4351851852</v>
      </c>
      <c r="I31" s="511">
        <v>31241.699999999997</v>
      </c>
      <c r="J31" s="512">
        <v>2124985.1351851854</v>
      </c>
      <c r="K31" s="743">
        <v>2124985.1351851854</v>
      </c>
      <c r="L31" s="744">
        <v>122.41666666666669</v>
      </c>
      <c r="M31" s="511">
        <v>190484.51851851854</v>
      </c>
      <c r="N31" s="744">
        <v>115.09259259259261</v>
      </c>
      <c r="O31" s="511">
        <v>10853.590909090906</v>
      </c>
      <c r="P31" s="496">
        <v>0</v>
      </c>
      <c r="Q31" s="496">
        <v>2124985.1351851854</v>
      </c>
      <c r="R31" s="775">
        <f t="shared" si="14"/>
        <v>4.5833333333333286</v>
      </c>
      <c r="S31" s="776">
        <f t="shared" si="15"/>
        <v>104474.04310938856</v>
      </c>
      <c r="T31" s="476"/>
      <c r="U31" s="476"/>
      <c r="X31" s="475"/>
      <c r="Y31" s="475"/>
      <c r="Z31" s="476"/>
      <c r="AB31" s="475"/>
    </row>
    <row r="32" spans="1:33" ht="13" x14ac:dyDescent="0.3">
      <c r="A32" s="482">
        <v>9257008</v>
      </c>
      <c r="B32" s="480" t="str">
        <f>VLOOKUP(A32,'2627 Places &amp; Banding'!$A$5:$B$20,2,(FALSE))</f>
        <v>Gosberton House Academy</v>
      </c>
      <c r="C32" s="510" t="s">
        <v>339</v>
      </c>
      <c r="D32" s="511">
        <v>470457</v>
      </c>
      <c r="E32" s="511">
        <v>131813</v>
      </c>
      <c r="F32" s="519"/>
      <c r="G32" s="511"/>
      <c r="H32" s="512">
        <v>1124754.1800000002</v>
      </c>
      <c r="I32" s="511">
        <v>17852.399999999998</v>
      </c>
      <c r="J32" s="512">
        <v>1744876.58</v>
      </c>
      <c r="K32" s="743">
        <v>1744876.58</v>
      </c>
      <c r="L32" s="744">
        <v>101</v>
      </c>
      <c r="M32" s="511">
        <v>26268.080000000002</v>
      </c>
      <c r="N32" s="744">
        <v>99.99</v>
      </c>
      <c r="O32" s="511">
        <v>10985.959595959597</v>
      </c>
      <c r="P32" s="496">
        <v>0</v>
      </c>
      <c r="Q32" s="496">
        <v>1744876.58</v>
      </c>
      <c r="R32" s="775">
        <f t="shared" si="14"/>
        <v>0</v>
      </c>
      <c r="S32" s="776">
        <f t="shared" si="15"/>
        <v>130526.82624999993</v>
      </c>
      <c r="T32" s="476"/>
      <c r="U32" s="476"/>
      <c r="X32" s="475"/>
      <c r="Y32" s="475"/>
      <c r="Z32" s="476"/>
      <c r="AB32" s="475"/>
    </row>
    <row r="33" spans="1:28" ht="13" x14ac:dyDescent="0.3">
      <c r="A33" s="482">
        <v>9257034</v>
      </c>
      <c r="B33" s="480" t="str">
        <f>VLOOKUP(A33,'2627 Places &amp; Banding'!$A$5:$B$20,2,(FALSE))</f>
        <v>Inspire Connected Communities Trust - Aegir School</v>
      </c>
      <c r="C33" s="510" t="s">
        <v>343</v>
      </c>
      <c r="D33" s="511">
        <v>565224.5</v>
      </c>
      <c r="E33" s="511">
        <v>149645.5</v>
      </c>
      <c r="F33" s="519"/>
      <c r="G33" s="511"/>
      <c r="H33" s="512">
        <v>1636129.1666666667</v>
      </c>
      <c r="I33" s="511">
        <v>35704.799999999996</v>
      </c>
      <c r="J33" s="512">
        <v>2386703.9666666668</v>
      </c>
      <c r="K33" s="743">
        <v>2386703.9666666668</v>
      </c>
      <c r="L33" s="744">
        <v>155.08333333333337</v>
      </c>
      <c r="M33" s="511">
        <v>30100.054726368162</v>
      </c>
      <c r="N33" s="744">
        <v>153.92599502487565</v>
      </c>
      <c r="O33" s="511">
        <v>10433.774436090225</v>
      </c>
      <c r="P33" s="496">
        <v>16567.215091637227</v>
      </c>
      <c r="Q33" s="496">
        <v>2403271.1817583041</v>
      </c>
      <c r="R33" s="775">
        <f t="shared" si="14"/>
        <v>9.9166666666666288</v>
      </c>
      <c r="S33" s="776">
        <f t="shared" si="15"/>
        <v>199292.05968030961</v>
      </c>
      <c r="T33" s="476"/>
      <c r="U33" s="476"/>
      <c r="X33" s="475"/>
      <c r="Y33" s="475"/>
      <c r="Z33" s="476"/>
      <c r="AB33" s="475"/>
    </row>
    <row r="34" spans="1:28" ht="13" x14ac:dyDescent="0.3">
      <c r="A34" s="482">
        <v>9257009</v>
      </c>
      <c r="B34" s="480" t="str">
        <f>VLOOKUP(A34,'2627 Places &amp; Banding'!$A$5:$B$20,2,(FALSE))</f>
        <v>Tulip Academy</v>
      </c>
      <c r="C34" s="510" t="s">
        <v>345</v>
      </c>
      <c r="D34" s="511">
        <v>718458</v>
      </c>
      <c r="E34" s="511">
        <v>173557</v>
      </c>
      <c r="F34" s="519"/>
      <c r="G34" s="511">
        <v>389126</v>
      </c>
      <c r="H34" s="512">
        <v>2701960.2340686275</v>
      </c>
      <c r="I34" s="511">
        <v>56036.7</v>
      </c>
      <c r="J34" s="512">
        <v>4039137.9340686277</v>
      </c>
      <c r="K34" s="743">
        <v>3650011.9340686277</v>
      </c>
      <c r="L34" s="744">
        <v>229.75000000000003</v>
      </c>
      <c r="M34" s="511">
        <v>351490.47058823524</v>
      </c>
      <c r="N34" s="744">
        <v>216.23529411764707</v>
      </c>
      <c r="O34" s="511">
        <v>10869.963541666666</v>
      </c>
      <c r="P34" s="496">
        <v>25360.054754919554</v>
      </c>
      <c r="Q34" s="496">
        <v>3675371.988823547</v>
      </c>
      <c r="R34" s="775">
        <f t="shared" si="14"/>
        <v>10.25</v>
      </c>
      <c r="S34" s="776">
        <f t="shared" si="15"/>
        <v>222756.76723007299</v>
      </c>
      <c r="U34" s="475"/>
      <c r="V34" s="475"/>
      <c r="W34" s="475"/>
      <c r="X34" s="475"/>
      <c r="Y34" s="475"/>
      <c r="AB34" s="475"/>
    </row>
    <row r="35" spans="1:28" ht="13" x14ac:dyDescent="0.3">
      <c r="A35" s="482">
        <v>9257029</v>
      </c>
      <c r="B35" s="480" t="str">
        <f>VLOOKUP(A35,'2627 Places &amp; Banding'!$A$5:$B$20,2,(FALSE))</f>
        <v>Greenfields Academy</v>
      </c>
      <c r="C35" s="510" t="s">
        <v>337</v>
      </c>
      <c r="D35" s="511">
        <v>434185</v>
      </c>
      <c r="E35" s="511">
        <v>102930</v>
      </c>
      <c r="F35" s="750">
        <v>246171</v>
      </c>
      <c r="G35" s="511"/>
      <c r="H35" s="512">
        <v>1314870</v>
      </c>
      <c r="I35" s="511">
        <v>23307.3</v>
      </c>
      <c r="J35" s="512">
        <v>2121463.2999999998</v>
      </c>
      <c r="K35" s="743">
        <v>1875292.2999999998</v>
      </c>
      <c r="L35" s="744">
        <v>82</v>
      </c>
      <c r="M35" s="511">
        <v>0</v>
      </c>
      <c r="N35" s="744">
        <v>82</v>
      </c>
      <c r="O35" s="511">
        <v>16035</v>
      </c>
      <c r="P35" s="496">
        <v>0</v>
      </c>
      <c r="Q35" s="496">
        <v>1875292.2999999998</v>
      </c>
      <c r="R35" s="775">
        <f t="shared" si="14"/>
        <v>0</v>
      </c>
      <c r="S35" s="776">
        <f t="shared" si="15"/>
        <v>-77.299999999813735</v>
      </c>
      <c r="U35" s="475"/>
      <c r="V35" s="475"/>
      <c r="W35" s="475"/>
      <c r="X35" s="475"/>
      <c r="Y35" s="475"/>
      <c r="AB35" s="475"/>
    </row>
    <row r="36" spans="1:28" ht="13" x14ac:dyDescent="0.3">
      <c r="A36" s="482">
        <v>9257032</v>
      </c>
      <c r="B36" s="480" t="str">
        <f>VLOOKUP(A36,'2627 Places &amp; Banding'!$A$5:$B$20,2,(FALSE))</f>
        <v>Athena School</v>
      </c>
      <c r="C36" s="510" t="s">
        <v>339</v>
      </c>
      <c r="D36" s="511">
        <v>399637</v>
      </c>
      <c r="E36" s="511">
        <v>102930</v>
      </c>
      <c r="F36" s="749">
        <v>246171</v>
      </c>
      <c r="G36" s="511">
        <v>192636</v>
      </c>
      <c r="H36" s="512">
        <v>1862732.5</v>
      </c>
      <c r="I36" s="511">
        <v>31241.699999999997</v>
      </c>
      <c r="J36" s="512">
        <v>2835348.2</v>
      </c>
      <c r="K36" s="743">
        <v>2396541.2000000002</v>
      </c>
      <c r="L36" s="744">
        <v>116.16666666666667</v>
      </c>
      <c r="M36" s="511">
        <v>0</v>
      </c>
      <c r="N36" s="744">
        <v>116.16666666666667</v>
      </c>
      <c r="O36" s="511">
        <v>16035</v>
      </c>
      <c r="P36" s="496">
        <v>0</v>
      </c>
      <c r="Q36" s="496">
        <v>2396541.2000000002</v>
      </c>
      <c r="R36" s="775">
        <f t="shared" si="14"/>
        <v>0.8333333333333286</v>
      </c>
      <c r="S36" s="776">
        <f t="shared" si="15"/>
        <v>17975.799999999814</v>
      </c>
      <c r="U36" s="475"/>
      <c r="V36" s="475"/>
      <c r="W36" s="475"/>
      <c r="X36" s="475"/>
      <c r="Y36" s="475"/>
      <c r="AB36" s="475"/>
    </row>
    <row r="37" spans="1:28" ht="13" x14ac:dyDescent="0.3">
      <c r="A37" s="482">
        <v>9257030</v>
      </c>
      <c r="B37" s="480" t="str">
        <f>VLOOKUP(A37,'2627 Places &amp; Banding'!$A$5:$B$20,2,(FALSE))</f>
        <v>Woodlands Academy</v>
      </c>
      <c r="C37" s="510" t="s">
        <v>337</v>
      </c>
      <c r="D37" s="511">
        <v>434185</v>
      </c>
      <c r="E37" s="511">
        <v>102930</v>
      </c>
      <c r="F37" s="749">
        <v>257534</v>
      </c>
      <c r="G37" s="511"/>
      <c r="H37" s="512">
        <v>1302843.75</v>
      </c>
      <c r="I37" s="511">
        <v>20331.899999999998</v>
      </c>
      <c r="J37" s="512">
        <v>2117824.65</v>
      </c>
      <c r="K37" s="743">
        <v>1860290.65</v>
      </c>
      <c r="L37" s="744">
        <v>81.25</v>
      </c>
      <c r="M37" s="511">
        <v>0</v>
      </c>
      <c r="N37" s="744">
        <v>81.25</v>
      </c>
      <c r="O37" s="511">
        <v>16035</v>
      </c>
      <c r="P37" s="496">
        <v>0</v>
      </c>
      <c r="Q37" s="496">
        <v>1860290.65</v>
      </c>
      <c r="R37" s="775">
        <f t="shared" si="14"/>
        <v>3.75</v>
      </c>
      <c r="S37" s="776">
        <f t="shared" si="15"/>
        <v>98587.947560975794</v>
      </c>
      <c r="U37" s="475"/>
      <c r="V37" s="475"/>
      <c r="W37" s="475"/>
      <c r="X37" s="475"/>
      <c r="Y37" s="475"/>
      <c r="AB37" s="475"/>
    </row>
    <row r="38" spans="1:28" ht="13" x14ac:dyDescent="0.3">
      <c r="A38" s="482">
        <v>9257028</v>
      </c>
      <c r="B38" s="480" t="str">
        <f>VLOOKUP(A38,'2627 Places &amp; Banding'!$A$5:$B$20,2,(FALSE))</f>
        <v>Willoughby Academy</v>
      </c>
      <c r="C38" s="510" t="s">
        <v>333</v>
      </c>
      <c r="D38" s="511">
        <v>614312</v>
      </c>
      <c r="E38" s="511">
        <v>161337</v>
      </c>
      <c r="F38" s="749"/>
      <c r="G38" s="511"/>
      <c r="H38" s="512">
        <v>2227915.666666667</v>
      </c>
      <c r="I38" s="511">
        <v>20331.899999999998</v>
      </c>
      <c r="J38" s="512">
        <v>3023896.5666666669</v>
      </c>
      <c r="K38" s="743">
        <v>3023896.5666666669</v>
      </c>
      <c r="L38" s="744">
        <v>147</v>
      </c>
      <c r="M38" s="511">
        <v>623036.08888888895</v>
      </c>
      <c r="N38" s="744">
        <v>123.04444444444445</v>
      </c>
      <c r="O38" s="511">
        <v>13043.088495575223</v>
      </c>
      <c r="P38" s="496">
        <v>0</v>
      </c>
      <c r="Q38" s="496">
        <v>3023896.5666666669</v>
      </c>
      <c r="R38" s="775">
        <f t="shared" si="14"/>
        <v>1</v>
      </c>
      <c r="S38" s="776">
        <f t="shared" si="15"/>
        <v>225106.41840795986</v>
      </c>
      <c r="T38" s="476"/>
      <c r="U38" s="476"/>
      <c r="X38" s="475"/>
      <c r="Y38" s="475"/>
      <c r="Z38" s="476"/>
      <c r="AB38" s="475"/>
    </row>
    <row r="39" spans="1:28" ht="13" x14ac:dyDescent="0.3">
      <c r="A39" s="482">
        <v>9257021</v>
      </c>
      <c r="B39" s="480" t="str">
        <f>VLOOKUP(A39,'2627 Places &amp; Banding'!$A$5:$B$20,2,(FALSE))</f>
        <v>St Lawrence School</v>
      </c>
      <c r="C39" s="510" t="s">
        <v>343</v>
      </c>
      <c r="D39" s="511">
        <v>565224.5</v>
      </c>
      <c r="E39" s="511">
        <v>149645.5</v>
      </c>
      <c r="F39" s="511"/>
      <c r="G39" s="511"/>
      <c r="H39" s="512">
        <v>1808691.8823529417</v>
      </c>
      <c r="I39" s="511">
        <v>45126.9</v>
      </c>
      <c r="J39" s="512">
        <v>2568688.7823529416</v>
      </c>
      <c r="K39" s="743">
        <v>2568688.7823529416</v>
      </c>
      <c r="L39" s="744">
        <v>180</v>
      </c>
      <c r="M39" s="511">
        <v>82613.647058823524</v>
      </c>
      <c r="N39" s="744">
        <v>176.8235294117647</v>
      </c>
      <c r="O39" s="511">
        <v>9761.5868263473076</v>
      </c>
      <c r="P39" s="496">
        <v>0</v>
      </c>
      <c r="Q39" s="496">
        <v>2568688.7823529416</v>
      </c>
      <c r="R39" s="775">
        <f t="shared" si="14"/>
        <v>0</v>
      </c>
      <c r="S39" s="776">
        <f t="shared" si="15"/>
        <v>155853.43798604142</v>
      </c>
      <c r="T39" s="476"/>
      <c r="U39" s="476"/>
      <c r="X39" s="475"/>
      <c r="Y39" s="475"/>
      <c r="Z39" s="476"/>
      <c r="AB39" s="475"/>
    </row>
    <row r="40" spans="1:28" ht="13" x14ac:dyDescent="0.3">
      <c r="A40" s="482">
        <v>9257015</v>
      </c>
      <c r="B40" s="480" t="str">
        <f>VLOOKUP(A40,'2627 Places &amp; Banding'!$A$5:$B$20,2,(FALSE))</f>
        <v>St Christopher's Special School</v>
      </c>
      <c r="C40" s="510" t="s">
        <v>347</v>
      </c>
      <c r="D40" s="511">
        <v>906868</v>
      </c>
      <c r="E40" s="511">
        <v>199376.10852500008</v>
      </c>
      <c r="F40" s="511"/>
      <c r="G40" s="511">
        <v>439861.89147499995</v>
      </c>
      <c r="H40" s="512">
        <v>4674457.6332781464</v>
      </c>
      <c r="I40" s="511">
        <v>43143.299999999996</v>
      </c>
      <c r="J40" s="512">
        <v>6263706.9332781462</v>
      </c>
      <c r="K40" s="743">
        <v>5823845.0418031458</v>
      </c>
      <c r="L40" s="744">
        <v>325.91666666666669</v>
      </c>
      <c r="M40" s="511">
        <v>252609.15894039735</v>
      </c>
      <c r="N40" s="744">
        <v>316.20391832229581</v>
      </c>
      <c r="O40" s="511">
        <v>13984.167235494882</v>
      </c>
      <c r="P40" s="496">
        <v>0</v>
      </c>
      <c r="Q40" s="496">
        <v>5823845.0418031458</v>
      </c>
      <c r="R40" s="775">
        <f t="shared" si="14"/>
        <v>-5.9166666666666856</v>
      </c>
      <c r="S40" s="776">
        <f t="shared" si="15"/>
        <v>-1373.9332781452686</v>
      </c>
      <c r="T40" s="476"/>
      <c r="U40" s="476"/>
      <c r="X40" s="475"/>
      <c r="Y40" s="475"/>
      <c r="Z40" s="476"/>
      <c r="AB40" s="475"/>
    </row>
    <row r="41" spans="1:28" ht="13" x14ac:dyDescent="0.3">
      <c r="A41" s="482">
        <v>9257016</v>
      </c>
      <c r="B41" s="480" t="str">
        <f>VLOOKUP(A41,'2627 Places &amp; Banding'!$A$5:$B$20,2,(FALSE))</f>
        <v>St Francis Special Needs School</v>
      </c>
      <c r="C41" s="510" t="s">
        <v>349</v>
      </c>
      <c r="D41" s="511">
        <v>811683</v>
      </c>
      <c r="E41" s="511">
        <v>185974</v>
      </c>
      <c r="F41" s="511"/>
      <c r="G41" s="511"/>
      <c r="H41" s="512">
        <v>3446599.1085271318</v>
      </c>
      <c r="I41" s="511">
        <v>32233.5</v>
      </c>
      <c r="J41" s="512">
        <v>4476489.6085271314</v>
      </c>
      <c r="K41" s="743">
        <v>4476489.6085271314</v>
      </c>
      <c r="L41" s="744">
        <v>171.33333333333334</v>
      </c>
      <c r="M41" s="511">
        <v>1968946.7286821709</v>
      </c>
      <c r="N41" s="744">
        <v>95.627906976744185</v>
      </c>
      <c r="O41" s="511">
        <v>15452.104166666664</v>
      </c>
      <c r="P41" s="496">
        <v>0</v>
      </c>
      <c r="Q41" s="496">
        <v>4476489.6085271314</v>
      </c>
      <c r="R41" s="775">
        <f t="shared" si="14"/>
        <v>4.6666666666666572</v>
      </c>
      <c r="S41" s="776">
        <f t="shared" si="15"/>
        <v>177201.2920576632</v>
      </c>
      <c r="T41" s="476"/>
      <c r="U41" s="476"/>
      <c r="X41" s="475"/>
      <c r="Y41" s="475"/>
      <c r="Z41" s="476"/>
      <c r="AB41" s="475"/>
    </row>
    <row r="42" spans="1:28" ht="13.5" thickBot="1" x14ac:dyDescent="0.35">
      <c r="A42" s="490"/>
      <c r="C42" s="751"/>
      <c r="D42" s="496"/>
      <c r="E42" s="496"/>
      <c r="F42" s="496"/>
      <c r="G42" s="496"/>
      <c r="H42" s="496"/>
      <c r="I42" s="496"/>
      <c r="J42" s="496"/>
      <c r="K42" s="513"/>
      <c r="L42" s="558"/>
      <c r="M42" s="496"/>
      <c r="N42" s="752"/>
      <c r="P42" s="496"/>
      <c r="Q42" s="496"/>
      <c r="R42" s="777"/>
      <c r="S42" s="776"/>
      <c r="T42" s="476"/>
      <c r="U42" s="476"/>
      <c r="X42" s="475"/>
      <c r="Y42" s="475"/>
      <c r="Z42" s="476"/>
      <c r="AB42" s="475"/>
    </row>
    <row r="43" spans="1:28" ht="13.5" thickBot="1" x14ac:dyDescent="0.35">
      <c r="A43" s="490"/>
      <c r="C43" s="476"/>
      <c r="D43" s="528">
        <v>9236532.5</v>
      </c>
      <c r="E43" s="528">
        <v>2311891.608525</v>
      </c>
      <c r="F43" s="528">
        <v>985021</v>
      </c>
      <c r="G43" s="528">
        <v>1402885.891475</v>
      </c>
      <c r="H43" s="528">
        <v>32671445.520728376</v>
      </c>
      <c r="I43" s="528">
        <v>476064</v>
      </c>
      <c r="J43" s="528">
        <v>47083840.520728372</v>
      </c>
      <c r="K43" s="528">
        <v>44695933.629253373</v>
      </c>
      <c r="L43" s="753">
        <v>2425.166666666667</v>
      </c>
      <c r="M43" s="528">
        <v>4660195.9629227994</v>
      </c>
      <c r="N43" s="753">
        <v>2245.9834936843999</v>
      </c>
      <c r="O43" s="754"/>
      <c r="P43" s="528">
        <v>50602.977252706485</v>
      </c>
      <c r="Q43" s="528">
        <v>44746536.606506079</v>
      </c>
      <c r="R43" s="777"/>
      <c r="S43" s="788">
        <f>SUM(S26:T41)</f>
        <v>1609225.0850370626</v>
      </c>
      <c r="T43" s="476"/>
      <c r="U43" s="476"/>
      <c r="X43" s="475"/>
      <c r="Y43" s="475"/>
      <c r="Z43" s="476"/>
      <c r="AB43" s="475"/>
    </row>
    <row r="44" spans="1:28" ht="13" thickBot="1" x14ac:dyDescent="0.3">
      <c r="A44" s="490"/>
      <c r="D44" s="496"/>
      <c r="E44" s="496"/>
      <c r="F44" s="496"/>
      <c r="G44" s="496"/>
      <c r="H44" s="496"/>
      <c r="I44" s="496"/>
      <c r="J44" s="496"/>
      <c r="K44" s="496"/>
      <c r="L44" s="513"/>
      <c r="M44" s="488"/>
      <c r="T44" s="496"/>
      <c r="U44" s="476"/>
      <c r="Y44" s="475"/>
      <c r="AA44" s="476"/>
      <c r="AB44" s="475"/>
    </row>
    <row r="45" spans="1:28" ht="13" thickBot="1" x14ac:dyDescent="0.3">
      <c r="K45" s="496">
        <f>K21-K43</f>
        <v>1611834.7849086151</v>
      </c>
      <c r="N45" s="778">
        <f>L21-L43</f>
        <v>43.25</v>
      </c>
    </row>
    <row r="48" spans="1:28" ht="13" x14ac:dyDescent="0.3">
      <c r="H48" s="755" t="s">
        <v>875</v>
      </c>
      <c r="M48" s="476" t="s">
        <v>898</v>
      </c>
    </row>
    <row r="49" spans="1:14" ht="37.5" x14ac:dyDescent="0.25">
      <c r="A49" s="722" t="s">
        <v>278</v>
      </c>
      <c r="B49" s="723" t="s">
        <v>279</v>
      </c>
      <c r="C49" s="724" t="s">
        <v>311</v>
      </c>
      <c r="D49" s="725" t="s">
        <v>312</v>
      </c>
      <c r="E49" s="725" t="s">
        <v>313</v>
      </c>
      <c r="F49" s="726" t="s">
        <v>314</v>
      </c>
      <c r="G49" s="726" t="s">
        <v>315</v>
      </c>
      <c r="H49" s="724" t="s">
        <v>316</v>
      </c>
      <c r="I49" s="724" t="s">
        <v>317</v>
      </c>
      <c r="J49" s="726" t="s">
        <v>318</v>
      </c>
      <c r="K49" s="724" t="s">
        <v>876</v>
      </c>
      <c r="M49" s="779">
        <v>660</v>
      </c>
    </row>
    <row r="50" spans="1:14" x14ac:dyDescent="0.25">
      <c r="A50" s="482">
        <v>9257010</v>
      </c>
      <c r="B50" s="480" t="str">
        <f>VLOOKUP(A50,'2627 Places &amp; Banding'!$A$5:$B$20,2,(FALSE))</f>
        <v>Boston Endeavour Academy</v>
      </c>
      <c r="C50" s="510" t="str">
        <f>C4</f>
        <v>School Size 6</v>
      </c>
      <c r="D50" s="511">
        <f t="shared" ref="D50:I50" si="16">D4</f>
        <v>614312</v>
      </c>
      <c r="E50" s="511">
        <f t="shared" si="16"/>
        <v>161337</v>
      </c>
      <c r="F50" s="511"/>
      <c r="G50" s="511"/>
      <c r="H50" s="511">
        <f>VLOOKUP(A50,'[16]2627 LCC Banding'!$1:$1048576,12,(FALSE))</f>
        <v>2153566</v>
      </c>
      <c r="I50" s="511">
        <f t="shared" si="16"/>
        <v>40400</v>
      </c>
      <c r="J50" s="511">
        <f>SUM(D50:I50)</f>
        <v>2969615</v>
      </c>
      <c r="K50" s="511">
        <f>J50-I50-F50</f>
        <v>2929215</v>
      </c>
      <c r="L50" s="475">
        <f>VLOOKUP(A50,'[16]2627 LCC Banding'!$A$6:$L$21,11,(FALSE))</f>
        <v>156</v>
      </c>
      <c r="M50" s="779">
        <f>$M$49*L50</f>
        <v>102960</v>
      </c>
      <c r="N50" s="525">
        <f>K50-M50</f>
        <v>2826255</v>
      </c>
    </row>
    <row r="51" spans="1:14" x14ac:dyDescent="0.25">
      <c r="A51" s="482">
        <v>9257005</v>
      </c>
      <c r="B51" s="480" t="str">
        <f>VLOOKUP(A51,'2627 Places &amp; Banding'!$A$5:$B$20,2,(FALSE))</f>
        <v>Newton Bridge Academy</v>
      </c>
      <c r="C51" s="510" t="str">
        <f t="shared" ref="C51:I65" si="17">C5</f>
        <v>School Size 7 Transition Point</v>
      </c>
      <c r="D51" s="511">
        <f t="shared" si="17"/>
        <v>765070.5</v>
      </c>
      <c r="E51" s="511">
        <f t="shared" si="17"/>
        <v>179765.5</v>
      </c>
      <c r="F51" s="511"/>
      <c r="G51" s="511">
        <f t="shared" si="17"/>
        <v>381262</v>
      </c>
      <c r="H51" s="511">
        <f>VLOOKUP(A51,'[16]2627 LCC Banding'!$1:$1048576,12,(FALSE))</f>
        <v>2785809</v>
      </c>
      <c r="I51" s="511">
        <f t="shared" si="17"/>
        <v>65650</v>
      </c>
      <c r="J51" s="511">
        <f>SUM(D51:I51)</f>
        <v>4177557</v>
      </c>
      <c r="K51" s="511">
        <f>J51-I51-F51</f>
        <v>4111907</v>
      </c>
      <c r="L51" s="475">
        <f>VLOOKUP(A51,'[16]2627 LCC Banding'!$A$6:$L$21,11,(FALSE))</f>
        <v>226</v>
      </c>
      <c r="M51" s="779">
        <f t="shared" ref="M51:M65" si="18">$M$49*L51</f>
        <v>149160</v>
      </c>
      <c r="N51" s="525">
        <f t="shared" ref="N51:N65" si="19">K51-M51</f>
        <v>3962747</v>
      </c>
    </row>
    <row r="52" spans="1:14" x14ac:dyDescent="0.25">
      <c r="A52" s="482">
        <v>9257025</v>
      </c>
      <c r="B52" s="480" t="str">
        <f>VLOOKUP(A52,'2627 Places &amp; Banding'!$A$5:$B$20,2,(FALSE))</f>
        <v>St Bernards School, Louth</v>
      </c>
      <c r="C52" s="510" t="str">
        <f t="shared" si="17"/>
        <v>School Size 5</v>
      </c>
      <c r="D52" s="511">
        <f t="shared" si="17"/>
        <v>516137</v>
      </c>
      <c r="E52" s="511">
        <f t="shared" si="17"/>
        <v>137954</v>
      </c>
      <c r="F52" s="511"/>
      <c r="G52" s="511"/>
      <c r="H52" s="511">
        <f>VLOOKUP(A52,'[16]2627 LCC Banding'!$1:$1048576,12,(FALSE))</f>
        <v>1303419</v>
      </c>
      <c r="I52" s="511">
        <f t="shared" si="17"/>
        <v>40905</v>
      </c>
      <c r="J52" s="511">
        <f t="shared" ref="J52:J65" si="20">SUM(D52:I52)</f>
        <v>1998415</v>
      </c>
      <c r="K52" s="511">
        <f t="shared" ref="K52:K65" si="21">J52-I52-F52</f>
        <v>1957510</v>
      </c>
      <c r="L52" s="475">
        <f>VLOOKUP(A52,'[16]2627 LCC Banding'!$A$6:$L$21,11,(FALSE))</f>
        <v>109</v>
      </c>
      <c r="M52" s="779">
        <f t="shared" si="18"/>
        <v>71940</v>
      </c>
      <c r="N52" s="525">
        <f t="shared" si="19"/>
        <v>1885570</v>
      </c>
    </row>
    <row r="53" spans="1:14" x14ac:dyDescent="0.25">
      <c r="A53" s="482">
        <v>9257024</v>
      </c>
      <c r="B53" s="480" t="str">
        <f>VLOOKUP(A53,'2627 Places &amp; Banding'!$A$5:$B$20,2,(FALSE))</f>
        <v>The Eresby School</v>
      </c>
      <c r="C53" s="510" t="str">
        <f t="shared" si="17"/>
        <v>School Size 4 Transition Point</v>
      </c>
      <c r="D53" s="511">
        <f t="shared" si="17"/>
        <v>470457</v>
      </c>
      <c r="E53" s="511">
        <f t="shared" si="17"/>
        <v>131813</v>
      </c>
      <c r="F53" s="511"/>
      <c r="G53" s="511"/>
      <c r="H53" s="511">
        <f>VLOOKUP(A53,'[16]2627 LCC Banding'!$1:$1048576,12,(FALSE))</f>
        <v>1192079</v>
      </c>
      <c r="I53" s="511">
        <f t="shared" si="17"/>
        <v>33835</v>
      </c>
      <c r="J53" s="511">
        <f t="shared" si="20"/>
        <v>1828184</v>
      </c>
      <c r="K53" s="511">
        <f t="shared" si="21"/>
        <v>1794349</v>
      </c>
      <c r="L53" s="475">
        <f>VLOOKUP(A53,'[16]2627 LCC Banding'!$A$6:$L$21,11,(FALSE))</f>
        <v>110</v>
      </c>
      <c r="M53" s="779">
        <f t="shared" si="18"/>
        <v>72600</v>
      </c>
      <c r="N53" s="525">
        <f t="shared" si="19"/>
        <v>1721749</v>
      </c>
    </row>
    <row r="54" spans="1:14" x14ac:dyDescent="0.25">
      <c r="A54" s="482">
        <v>9257031</v>
      </c>
      <c r="B54" s="480" t="str">
        <f>VLOOKUP(A54,'2627 Places &amp; Banding'!$A$5:$B$20,2,(FALSE))</f>
        <v>Fortuna School</v>
      </c>
      <c r="C54" s="510" t="str">
        <f t="shared" si="17"/>
        <v>School Size 5</v>
      </c>
      <c r="D54" s="511">
        <f t="shared" si="17"/>
        <v>434185</v>
      </c>
      <c r="E54" s="511">
        <f t="shared" si="17"/>
        <v>102930</v>
      </c>
      <c r="F54" s="511">
        <f t="shared" si="17"/>
        <v>247857</v>
      </c>
      <c r="G54" s="511"/>
      <c r="H54" s="511">
        <f>VLOOKUP(A54,'[16]2627 LCC Banding'!$1:$1048576,12,(FALSE))</f>
        <v>1120299</v>
      </c>
      <c r="I54" s="511">
        <f t="shared" si="17"/>
        <v>25250</v>
      </c>
      <c r="J54" s="511">
        <f t="shared" si="20"/>
        <v>1930521</v>
      </c>
      <c r="K54" s="511">
        <f t="shared" si="21"/>
        <v>1657414</v>
      </c>
      <c r="L54" s="475">
        <f>VLOOKUP(A54,'[16]2627 LCC Banding'!$A$6:$L$21,11,(FALSE))</f>
        <v>68</v>
      </c>
      <c r="M54" s="779">
        <f t="shared" si="18"/>
        <v>44880</v>
      </c>
      <c r="N54" s="525">
        <f t="shared" si="19"/>
        <v>1612534</v>
      </c>
    </row>
    <row r="55" spans="1:14" x14ac:dyDescent="0.25">
      <c r="A55" s="482">
        <v>9257033</v>
      </c>
      <c r="B55" s="480" t="str">
        <f>VLOOKUP(A55,'2627 Places &amp; Banding'!$A$5:$B$20,2,(FALSE))</f>
        <v>Mayflower Academy Warren Wood - A Specialist Academy</v>
      </c>
      <c r="C55" s="510" t="str">
        <f t="shared" si="17"/>
        <v>School Size 5</v>
      </c>
      <c r="D55" s="511">
        <f t="shared" si="17"/>
        <v>516137</v>
      </c>
      <c r="E55" s="511">
        <f t="shared" si="17"/>
        <v>137954</v>
      </c>
      <c r="F55" s="511"/>
      <c r="G55" s="511"/>
      <c r="H55" s="511">
        <f>VLOOKUP(A55,'[16]2627 LCC Banding'!$1:$1048576,12,(FALSE))</f>
        <v>1558115</v>
      </c>
      <c r="I55" s="511">
        <f t="shared" si="17"/>
        <v>41410</v>
      </c>
      <c r="J55" s="511">
        <f t="shared" si="20"/>
        <v>2253616</v>
      </c>
      <c r="K55" s="511">
        <f t="shared" si="21"/>
        <v>2212206</v>
      </c>
      <c r="L55" s="475">
        <f>VLOOKUP(A55,'[16]2627 LCC Banding'!$A$6:$L$21,11,(FALSE))</f>
        <v>129</v>
      </c>
      <c r="M55" s="779">
        <f t="shared" si="18"/>
        <v>85140</v>
      </c>
      <c r="N55" s="525">
        <f t="shared" si="19"/>
        <v>2127066</v>
      </c>
    </row>
    <row r="56" spans="1:14" x14ac:dyDescent="0.25">
      <c r="A56" s="482">
        <v>9257008</v>
      </c>
      <c r="B56" s="480" t="str">
        <f>VLOOKUP(A56,'2627 Places &amp; Banding'!$A$5:$B$20,2,(FALSE))</f>
        <v>Gosberton House Academy</v>
      </c>
      <c r="C56" s="510" t="str">
        <f t="shared" si="17"/>
        <v>School Size 4 Transition Point</v>
      </c>
      <c r="D56" s="511">
        <f t="shared" si="17"/>
        <v>470457</v>
      </c>
      <c r="E56" s="511">
        <f t="shared" si="17"/>
        <v>131813</v>
      </c>
      <c r="F56" s="511"/>
      <c r="G56" s="511"/>
      <c r="H56" s="511">
        <f>VLOOKUP(A56,'[16]2627 LCC Banding'!$1:$1048576,12,(FALSE))</f>
        <v>1185627</v>
      </c>
      <c r="I56" s="511">
        <f t="shared" si="17"/>
        <v>25755</v>
      </c>
      <c r="J56" s="511">
        <f t="shared" si="20"/>
        <v>1813652</v>
      </c>
      <c r="K56" s="511">
        <f t="shared" si="21"/>
        <v>1787897</v>
      </c>
      <c r="L56" s="475">
        <f>VLOOKUP(A56,'[16]2627 LCC Banding'!$A$6:$L$21,11,(FALSE))</f>
        <v>96</v>
      </c>
      <c r="M56" s="779">
        <f t="shared" si="18"/>
        <v>63360</v>
      </c>
      <c r="N56" s="525">
        <f t="shared" si="19"/>
        <v>1724537</v>
      </c>
    </row>
    <row r="57" spans="1:14" x14ac:dyDescent="0.25">
      <c r="A57" s="482">
        <v>9257034</v>
      </c>
      <c r="B57" s="480" t="str">
        <f>VLOOKUP(A57,'2627 Places &amp; Banding'!$A$5:$B$20,2,(FALSE))</f>
        <v>Inspire Connected Communities Trust - Aegir School</v>
      </c>
      <c r="C57" s="510" t="str">
        <f t="shared" si="17"/>
        <v>School Size 5 Transition Point</v>
      </c>
      <c r="D57" s="511">
        <f t="shared" si="17"/>
        <v>565224.5</v>
      </c>
      <c r="E57" s="511">
        <f t="shared" si="17"/>
        <v>149645.5</v>
      </c>
      <c r="F57" s="511"/>
      <c r="G57" s="511"/>
      <c r="H57" s="511">
        <f>VLOOKUP(A57,'[16]2627 LCC Banding'!$1:$1048576,12,(FALSE))</f>
        <v>1605062</v>
      </c>
      <c r="I57" s="511">
        <f t="shared" si="17"/>
        <v>47470</v>
      </c>
      <c r="J57" s="511">
        <f t="shared" si="20"/>
        <v>2367402</v>
      </c>
      <c r="K57" s="511">
        <f t="shared" si="21"/>
        <v>2319932</v>
      </c>
      <c r="L57" s="475">
        <f>VLOOKUP(A57,'[16]2627 LCC Banding'!$A$6:$L$21,11,(FALSE))</f>
        <v>145</v>
      </c>
      <c r="M57" s="779">
        <f t="shared" si="18"/>
        <v>95700</v>
      </c>
      <c r="N57" s="525">
        <f t="shared" si="19"/>
        <v>2224232</v>
      </c>
    </row>
    <row r="58" spans="1:14" x14ac:dyDescent="0.25">
      <c r="A58" s="482">
        <v>9257009</v>
      </c>
      <c r="B58" s="480" t="str">
        <f>VLOOKUP(A58,'2627 Places &amp; Banding'!$A$5:$B$20,2,(FALSE))</f>
        <v>Tulip Academy</v>
      </c>
      <c r="C58" s="510" t="str">
        <f t="shared" si="17"/>
        <v>School Size 7</v>
      </c>
      <c r="D58" s="511">
        <f t="shared" si="17"/>
        <v>718458</v>
      </c>
      <c r="E58" s="511">
        <f t="shared" si="17"/>
        <v>173557</v>
      </c>
      <c r="F58" s="511"/>
      <c r="G58" s="511">
        <f t="shared" si="17"/>
        <v>389126</v>
      </c>
      <c r="H58" s="511">
        <f>VLOOKUP(A58,'[16]2627 LCC Banding'!$1:$1048576,12,(FALSE))</f>
        <v>2811134</v>
      </c>
      <c r="I58" s="511">
        <f t="shared" si="17"/>
        <v>60095</v>
      </c>
      <c r="J58" s="511">
        <f t="shared" si="20"/>
        <v>4152370</v>
      </c>
      <c r="K58" s="511">
        <f t="shared" si="21"/>
        <v>4092275</v>
      </c>
      <c r="L58" s="475">
        <f>VLOOKUP(A58,'[16]2627 LCC Banding'!$A$6:$L$21,11,(FALSE))</f>
        <v>231</v>
      </c>
      <c r="M58" s="779">
        <f t="shared" si="18"/>
        <v>152460</v>
      </c>
      <c r="N58" s="525">
        <f t="shared" si="19"/>
        <v>3939815</v>
      </c>
    </row>
    <row r="59" spans="1:14" x14ac:dyDescent="0.25">
      <c r="A59" s="482">
        <v>9257029</v>
      </c>
      <c r="B59" s="480" t="str">
        <f>VLOOKUP(A59,'2627 Places &amp; Banding'!$A$5:$B$20,2,(FALSE))</f>
        <v>Greenfields Academy</v>
      </c>
      <c r="C59" s="510" t="str">
        <f t="shared" si="17"/>
        <v>School Size 5</v>
      </c>
      <c r="D59" s="511">
        <f t="shared" si="17"/>
        <v>434185</v>
      </c>
      <c r="E59" s="511">
        <f t="shared" si="17"/>
        <v>102930</v>
      </c>
      <c r="F59" s="511">
        <f t="shared" si="17"/>
        <v>259479</v>
      </c>
      <c r="G59" s="511"/>
      <c r="H59" s="511">
        <f>VLOOKUP(A59,'[16]2627 LCC Banding'!$1:$1048576,12,(FALSE))</f>
        <v>1074345</v>
      </c>
      <c r="I59" s="511">
        <f t="shared" si="17"/>
        <v>23230</v>
      </c>
      <c r="J59" s="511">
        <f t="shared" si="20"/>
        <v>1894169</v>
      </c>
      <c r="K59" s="511">
        <f t="shared" si="21"/>
        <v>1611460</v>
      </c>
      <c r="L59" s="475">
        <f>VLOOKUP(A59,'[16]2627 LCC Banding'!$A$6:$L$21,11,(FALSE))</f>
        <v>67</v>
      </c>
      <c r="M59" s="779">
        <f t="shared" si="18"/>
        <v>44220</v>
      </c>
      <c r="N59" s="525">
        <f t="shared" si="19"/>
        <v>1567240</v>
      </c>
    </row>
    <row r="60" spans="1:14" x14ac:dyDescent="0.25">
      <c r="A60" s="482">
        <v>9257032</v>
      </c>
      <c r="B60" s="480" t="str">
        <f>VLOOKUP(A60,'2627 Places &amp; Banding'!$A$5:$B$20,2,(FALSE))</f>
        <v>Athena School</v>
      </c>
      <c r="C60" s="510" t="str">
        <f t="shared" si="17"/>
        <v>School Size 4 Transition Point</v>
      </c>
      <c r="D60" s="511">
        <f t="shared" si="17"/>
        <v>399637</v>
      </c>
      <c r="E60" s="511">
        <f t="shared" si="17"/>
        <v>102930</v>
      </c>
      <c r="F60" s="511">
        <f t="shared" si="17"/>
        <v>259479</v>
      </c>
      <c r="G60" s="511">
        <f t="shared" si="17"/>
        <v>192636</v>
      </c>
      <c r="H60" s="511">
        <f>VLOOKUP(A60,'[16]2627 LCC Banding'!$1:$1048576,12,(FALSE))</f>
        <v>1747815</v>
      </c>
      <c r="I60" s="511">
        <f t="shared" si="17"/>
        <v>35855</v>
      </c>
      <c r="J60" s="511">
        <f t="shared" si="20"/>
        <v>2738352</v>
      </c>
      <c r="K60" s="511">
        <f t="shared" si="21"/>
        <v>2443018</v>
      </c>
      <c r="L60" s="475">
        <f>VLOOKUP(A60,'[16]2627 LCC Banding'!$A$6:$L$21,11,(FALSE))</f>
        <v>109</v>
      </c>
      <c r="M60" s="779">
        <f t="shared" si="18"/>
        <v>71940</v>
      </c>
      <c r="N60" s="525">
        <f t="shared" si="19"/>
        <v>2371078</v>
      </c>
    </row>
    <row r="61" spans="1:14" x14ac:dyDescent="0.25">
      <c r="A61" s="482">
        <v>9257030</v>
      </c>
      <c r="B61" s="480" t="str">
        <f>VLOOKUP(A61,'2627 Places &amp; Banding'!$A$5:$B$20,2,(FALSE))</f>
        <v>Woodlands Academy</v>
      </c>
      <c r="C61" s="510" t="str">
        <f t="shared" si="17"/>
        <v>School Size 5</v>
      </c>
      <c r="D61" s="511">
        <f t="shared" si="17"/>
        <v>434185</v>
      </c>
      <c r="E61" s="511">
        <f t="shared" si="17"/>
        <v>102930</v>
      </c>
      <c r="F61" s="511">
        <f t="shared" si="17"/>
        <v>271457</v>
      </c>
      <c r="G61" s="511"/>
      <c r="H61" s="511">
        <f>VLOOKUP(A61,'[16]2627 LCC Banding'!$1:$1048576,12,(FALSE))</f>
        <v>1344789</v>
      </c>
      <c r="I61" s="511">
        <f t="shared" si="17"/>
        <v>27775</v>
      </c>
      <c r="J61" s="511">
        <f t="shared" si="20"/>
        <v>2181136</v>
      </c>
      <c r="K61" s="511">
        <f t="shared" si="21"/>
        <v>1881904</v>
      </c>
      <c r="L61" s="475">
        <f>VLOOKUP(A61,'[16]2627 LCC Banding'!$A$6:$L$21,11,(FALSE))</f>
        <v>82</v>
      </c>
      <c r="M61" s="779">
        <f t="shared" si="18"/>
        <v>54120</v>
      </c>
      <c r="N61" s="525">
        <f t="shared" si="19"/>
        <v>1827784</v>
      </c>
    </row>
    <row r="62" spans="1:14" x14ac:dyDescent="0.25">
      <c r="A62" s="482">
        <v>9257028</v>
      </c>
      <c r="B62" s="480" t="str">
        <f>VLOOKUP(A62,'2627 Places &amp; Banding'!$A$5:$B$20,2,(FALSE))</f>
        <v>Willoughby Academy</v>
      </c>
      <c r="C62" s="510" t="str">
        <f t="shared" si="17"/>
        <v>School Size 6 Transition Point</v>
      </c>
      <c r="D62" s="511">
        <f t="shared" si="17"/>
        <v>666385</v>
      </c>
      <c r="E62" s="511">
        <f t="shared" si="17"/>
        <v>167447</v>
      </c>
      <c r="F62" s="511"/>
      <c r="G62" s="511"/>
      <c r="H62" s="511">
        <f>VLOOKUP(A62,'[16]2627 LCC Banding'!$1:$1048576,12,(FALSE))</f>
        <v>2161104</v>
      </c>
      <c r="I62" s="511">
        <f t="shared" si="17"/>
        <v>28280</v>
      </c>
      <c r="J62" s="511">
        <f t="shared" si="20"/>
        <v>3023216</v>
      </c>
      <c r="K62" s="511">
        <f t="shared" si="21"/>
        <v>2994936</v>
      </c>
      <c r="L62" s="475">
        <f>VLOOKUP(A62,'[16]2627 LCC Banding'!$A$6:$L$21,11,(FALSE))</f>
        <v>134</v>
      </c>
      <c r="M62" s="779">
        <f t="shared" si="18"/>
        <v>88440</v>
      </c>
      <c r="N62" s="525">
        <f t="shared" si="19"/>
        <v>2906496</v>
      </c>
    </row>
    <row r="63" spans="1:14" x14ac:dyDescent="0.25">
      <c r="A63" s="482">
        <v>9257021</v>
      </c>
      <c r="B63" s="480" t="str">
        <f>VLOOKUP(A63,'2627 Places &amp; Banding'!$A$5:$B$20,2,(FALSE))</f>
        <v>St Lawrence School</v>
      </c>
      <c r="C63" s="510" t="str">
        <f t="shared" si="17"/>
        <v>School Size 6</v>
      </c>
      <c r="D63" s="511">
        <f t="shared" si="17"/>
        <v>614312</v>
      </c>
      <c r="E63" s="511">
        <f t="shared" si="17"/>
        <v>161337</v>
      </c>
      <c r="F63" s="511"/>
      <c r="G63" s="511"/>
      <c r="H63" s="511">
        <f>VLOOKUP(A63,'[16]2627 LCC Banding'!$1:$1048576,12,(FALSE))</f>
        <v>1858808</v>
      </c>
      <c r="I63" s="511">
        <f t="shared" si="17"/>
        <v>58580</v>
      </c>
      <c r="J63" s="511">
        <f t="shared" si="20"/>
        <v>2693037</v>
      </c>
      <c r="K63" s="511">
        <f t="shared" si="21"/>
        <v>2634457</v>
      </c>
      <c r="L63" s="475">
        <f>VLOOKUP(A63,'[16]2627 LCC Banding'!$A$6:$L$21,11,(FALSE))</f>
        <v>177</v>
      </c>
      <c r="M63" s="779">
        <f t="shared" si="18"/>
        <v>116820</v>
      </c>
      <c r="N63" s="525">
        <f t="shared" si="19"/>
        <v>2517637</v>
      </c>
    </row>
    <row r="64" spans="1:14" x14ac:dyDescent="0.25">
      <c r="A64" s="482">
        <v>9257015</v>
      </c>
      <c r="B64" s="480" t="str">
        <f>VLOOKUP(A64,'2627 Places &amp; Banding'!$A$5:$B$20,2,(FALSE))</f>
        <v>St Christopher's Special School</v>
      </c>
      <c r="C64" s="510" t="str">
        <f t="shared" si="17"/>
        <v>School Size 9</v>
      </c>
      <c r="D64" s="511">
        <f t="shared" si="17"/>
        <v>906868</v>
      </c>
      <c r="E64" s="511">
        <f t="shared" si="17"/>
        <v>199376.10852500008</v>
      </c>
      <c r="F64" s="511"/>
      <c r="G64" s="511">
        <f t="shared" si="17"/>
        <v>439861.89147499995</v>
      </c>
      <c r="H64" s="511">
        <f>VLOOKUP(A64,'[16]2627 LCC Banding'!$1:$1048576,12,(FALSE))</f>
        <v>4636437</v>
      </c>
      <c r="I64" s="511">
        <f t="shared" si="17"/>
        <v>79790</v>
      </c>
      <c r="J64" s="511">
        <f t="shared" si="20"/>
        <v>6262333</v>
      </c>
      <c r="K64" s="511">
        <f t="shared" si="21"/>
        <v>6182543</v>
      </c>
      <c r="L64" s="475">
        <f>VLOOKUP(A64,'[16]2627 LCC Banding'!$A$6:$L$21,11,(FALSE))</f>
        <v>320</v>
      </c>
      <c r="M64" s="779">
        <f t="shared" si="18"/>
        <v>211200</v>
      </c>
      <c r="N64" s="525">
        <f t="shared" si="19"/>
        <v>5971343</v>
      </c>
    </row>
    <row r="65" spans="1:14" x14ac:dyDescent="0.25">
      <c r="A65" s="482">
        <v>9257016</v>
      </c>
      <c r="B65" s="480" t="str">
        <f>VLOOKUP(A65,'2627 Places &amp; Banding'!$A$5:$B$20,2,(FALSE))</f>
        <v>St Francis Special Needs School</v>
      </c>
      <c r="C65" s="510" t="str">
        <f t="shared" si="17"/>
        <v>School Size 8</v>
      </c>
      <c r="D65" s="511">
        <f t="shared" si="17"/>
        <v>811683</v>
      </c>
      <c r="E65" s="511">
        <f t="shared" si="17"/>
        <v>185974</v>
      </c>
      <c r="F65" s="511"/>
      <c r="G65" s="511"/>
      <c r="H65" s="511">
        <f>VLOOKUP(A65,'[16]2627 LCC Banding'!$1:$1048576,12,(FALSE))</f>
        <v>3501632</v>
      </c>
      <c r="I65" s="511">
        <f t="shared" si="17"/>
        <v>52015</v>
      </c>
      <c r="J65" s="511">
        <f t="shared" si="20"/>
        <v>4551304</v>
      </c>
      <c r="K65" s="511">
        <f t="shared" si="21"/>
        <v>4499289</v>
      </c>
      <c r="L65" s="475">
        <f>VLOOKUP(A65,'[16]2627 LCC Banding'!$A$6:$L$21,11,(FALSE))</f>
        <v>171</v>
      </c>
      <c r="M65" s="779">
        <f t="shared" si="18"/>
        <v>112860</v>
      </c>
      <c r="N65" s="525">
        <f t="shared" si="19"/>
        <v>4386429</v>
      </c>
    </row>
    <row r="66" spans="1:14" x14ac:dyDescent="0.25">
      <c r="C66" s="476"/>
      <c r="D66" s="496"/>
      <c r="E66" s="496"/>
      <c r="F66" s="496"/>
      <c r="G66" s="496"/>
      <c r="H66" s="496"/>
      <c r="I66" s="496"/>
      <c r="J66" s="476"/>
    </row>
    <row r="67" spans="1:14" ht="13" thickBot="1" x14ac:dyDescent="0.3">
      <c r="D67" s="528">
        <f t="shared" ref="D67:K67" si="22">SUM(D50:D65)</f>
        <v>9337693</v>
      </c>
      <c r="E67" s="528">
        <f t="shared" si="22"/>
        <v>2329693.108525</v>
      </c>
      <c r="F67" s="528">
        <f t="shared" si="22"/>
        <v>1038272</v>
      </c>
      <c r="G67" s="528">
        <f t="shared" si="22"/>
        <v>1402885.891475</v>
      </c>
      <c r="H67" s="528">
        <f t="shared" si="22"/>
        <v>32040040</v>
      </c>
      <c r="I67" s="528">
        <f t="shared" si="22"/>
        <v>686295</v>
      </c>
      <c r="J67" s="528">
        <f t="shared" si="22"/>
        <v>46834879</v>
      </c>
      <c r="K67" s="528">
        <f t="shared" si="22"/>
        <v>45110312</v>
      </c>
    </row>
    <row r="69" spans="1:14" x14ac:dyDescent="0.25">
      <c r="D69" s="496">
        <f>D21-D67</f>
        <v>0</v>
      </c>
      <c r="E69" s="496">
        <f t="shared" ref="E69:J69" si="23">E21-E67</f>
        <v>0</v>
      </c>
      <c r="F69" s="496">
        <f t="shared" si="23"/>
        <v>0</v>
      </c>
      <c r="G69" s="496">
        <f t="shared" si="23"/>
        <v>0</v>
      </c>
      <c r="H69" s="496">
        <f t="shared" si="23"/>
        <v>1914047.3056369871</v>
      </c>
      <c r="I69" s="496">
        <f t="shared" si="23"/>
        <v>0</v>
      </c>
      <c r="J69" s="496">
        <f t="shared" si="23"/>
        <v>1914047.3056369871</v>
      </c>
      <c r="K69" s="496"/>
    </row>
  </sheetData>
  <conditionalFormatting sqref="C4:C13 C26">
    <cfRule type="cellIs" dxfId="9" priority="5" operator="equal">
      <formula>$C$25</formula>
    </cfRule>
    <cfRule type="cellIs" dxfId="8" priority="6" operator="equal">
      <formula>$C$25</formula>
    </cfRule>
  </conditionalFormatting>
  <conditionalFormatting sqref="C15:C19">
    <cfRule type="cellIs" dxfId="7" priority="3" operator="equal">
      <formula>$C$25</formula>
    </cfRule>
    <cfRule type="cellIs" dxfId="6" priority="4" operator="equal">
      <formula>$C$25</formula>
    </cfRule>
  </conditionalFormatting>
  <conditionalFormatting sqref="C50:J65">
    <cfRule type="cellIs" dxfId="5" priority="1" operator="equal">
      <formula>$C$25</formula>
    </cfRule>
    <cfRule type="cellIs" dxfId="4" priority="2" operator="equal">
      <formula>$C$25</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547E-0F21-44D8-B862-875B50C76F2C}">
  <sheetPr>
    <tabColor rgb="FF00B0F0"/>
  </sheetPr>
  <dimension ref="A1:M40"/>
  <sheetViews>
    <sheetView workbookViewId="0">
      <selection activeCell="B10" activeCellId="1" sqref="E7 B10"/>
    </sheetView>
  </sheetViews>
  <sheetFormatPr defaultColWidth="8.7265625" defaultRowHeight="12.5" x14ac:dyDescent="0.25"/>
  <cols>
    <col min="1" max="1" width="41.54296875" style="445" customWidth="1"/>
    <col min="2" max="7" width="8.7265625" style="445"/>
    <col min="8" max="8" width="9.81640625" style="445" bestFit="1" customWidth="1"/>
    <col min="9" max="9" width="9.1796875" style="445" bestFit="1" customWidth="1"/>
    <col min="10" max="16384" width="8.7265625" style="445"/>
  </cols>
  <sheetData>
    <row r="1" spans="1:11" ht="13" x14ac:dyDescent="0.3">
      <c r="A1" s="444" t="s">
        <v>226</v>
      </c>
    </row>
    <row r="3" spans="1:11" x14ac:dyDescent="0.25">
      <c r="A3" s="446" t="s">
        <v>227</v>
      </c>
    </row>
    <row r="4" spans="1:11" x14ac:dyDescent="0.25">
      <c r="A4" s="445" t="s">
        <v>228</v>
      </c>
    </row>
    <row r="5" spans="1:11" x14ac:dyDescent="0.25">
      <c r="A5" s="445" t="s">
        <v>230</v>
      </c>
    </row>
    <row r="7" spans="1:11" x14ac:dyDescent="0.25">
      <c r="A7" s="446" t="s">
        <v>231</v>
      </c>
      <c r="C7" s="571">
        <f>B13-B11</f>
        <v>4628.7980979194617</v>
      </c>
      <c r="E7" s="445">
        <f>'2627 Band Values'!H9</f>
        <v>9106.5800728824906</v>
      </c>
      <c r="J7" s="447">
        <f>B13-B11</f>
        <v>4628.7980979194617</v>
      </c>
      <c r="K7" s="445" t="s">
        <v>879</v>
      </c>
    </row>
    <row r="8" spans="1:11" ht="13" x14ac:dyDescent="0.3">
      <c r="A8" s="444" t="s">
        <v>847</v>
      </c>
    </row>
    <row r="9" spans="1:11" ht="13" x14ac:dyDescent="0.3">
      <c r="A9" s="444" t="s">
        <v>233</v>
      </c>
    </row>
    <row r="10" spans="1:11" x14ac:dyDescent="0.25">
      <c r="A10" s="445" t="s">
        <v>234</v>
      </c>
      <c r="B10" s="447">
        <f>'2627 Band Values'!H6-660</f>
        <v>6924.8789331992784</v>
      </c>
      <c r="C10" s="445" t="s">
        <v>877</v>
      </c>
    </row>
    <row r="11" spans="1:11" x14ac:dyDescent="0.25">
      <c r="A11" s="445" t="s">
        <v>235</v>
      </c>
      <c r="B11" s="924">
        <f>('Staff Pay Schedule'!N51/150)+1360</f>
        <v>5371.2019020805383</v>
      </c>
      <c r="D11" s="445" t="s">
        <v>371</v>
      </c>
    </row>
    <row r="12" spans="1:11" x14ac:dyDescent="0.25">
      <c r="A12" s="445" t="s">
        <v>236</v>
      </c>
      <c r="B12" s="924"/>
      <c r="H12" s="447">
        <f>'Staff Pay Schedule'!N51/150</f>
        <v>4011.2019020805378</v>
      </c>
    </row>
    <row r="13" spans="1:11" x14ac:dyDescent="0.25">
      <c r="B13" s="448">
        <f>IF(B10+B11&gt;10000,(10000),(B10+B11))</f>
        <v>10000</v>
      </c>
      <c r="D13" s="445" t="s">
        <v>237</v>
      </c>
    </row>
    <row r="14" spans="1:11" x14ac:dyDescent="0.25">
      <c r="B14" s="449"/>
    </row>
    <row r="15" spans="1:11" x14ac:dyDescent="0.25">
      <c r="B15" s="450">
        <f>SUM(B10:B12)</f>
        <v>12296.080835279816</v>
      </c>
    </row>
    <row r="16" spans="1:11" x14ac:dyDescent="0.25">
      <c r="G16" s="570" t="s">
        <v>406</v>
      </c>
      <c r="H16" s="447">
        <f>'Combined- special'!D217</f>
        <v>1333.3333333333333</v>
      </c>
      <c r="I16" s="445" t="s">
        <v>786</v>
      </c>
    </row>
    <row r="17" spans="1:13" ht="13" x14ac:dyDescent="0.3">
      <c r="A17" s="444" t="s">
        <v>240</v>
      </c>
      <c r="G17" s="570" t="s">
        <v>407</v>
      </c>
      <c r="H17" s="447">
        <f>H16*(100%-3.4%)</f>
        <v>1288</v>
      </c>
      <c r="I17" s="647"/>
    </row>
    <row r="18" spans="1:13" x14ac:dyDescent="0.25">
      <c r="A18" s="445" t="s">
        <v>848</v>
      </c>
      <c r="B18" s="447">
        <f>IF($B$10+$B$11&gt;10000,($B$10+$B$11-10000),(0))</f>
        <v>2296.0808352798158</v>
      </c>
      <c r="G18" s="570" t="s">
        <v>408</v>
      </c>
      <c r="H18" s="447">
        <f>H17*1.017</f>
        <v>1309.896</v>
      </c>
      <c r="I18" s="569">
        <v>1.7000000000000001E-2</v>
      </c>
    </row>
    <row r="19" spans="1:13" ht="13" x14ac:dyDescent="0.3">
      <c r="A19" s="445" t="s">
        <v>243</v>
      </c>
      <c r="B19" s="757">
        <f>IF($B$10+$B$11&gt;10000,($B$10+$B$11-10000+'2627 Band Values'!H9),(0))</f>
        <v>11402.660908162306</v>
      </c>
      <c r="C19" s="571"/>
      <c r="G19" s="570" t="s">
        <v>409</v>
      </c>
      <c r="H19" s="572">
        <f>H18*1.038</f>
        <v>1359.6720479999999</v>
      </c>
      <c r="I19" s="569">
        <v>3.7999999999999999E-2</v>
      </c>
    </row>
    <row r="20" spans="1:13" x14ac:dyDescent="0.25">
      <c r="A20" s="445" t="s">
        <v>244</v>
      </c>
      <c r="B20" s="447">
        <f>IF($B$10+$B$11&gt;10000,($B$10+$B$11-10000+'2627 Band Values'!H11),(0))</f>
        <v>27456.834519775301</v>
      </c>
      <c r="C20" s="571">
        <f>B19-B18</f>
        <v>9106.5800728824906</v>
      </c>
      <c r="G20" s="570" t="s">
        <v>758</v>
      </c>
      <c r="H20" s="447">
        <f>H19*150</f>
        <v>203950.80719999998</v>
      </c>
      <c r="I20" s="647"/>
    </row>
    <row r="21" spans="1:13" x14ac:dyDescent="0.25">
      <c r="A21" s="470" t="s">
        <v>235</v>
      </c>
      <c r="B21" s="533">
        <v>5309.8384874712301</v>
      </c>
      <c r="C21" s="470"/>
      <c r="D21" s="470"/>
      <c r="E21" s="470"/>
      <c r="F21" s="470"/>
      <c r="G21" s="470"/>
      <c r="H21" s="470"/>
      <c r="I21" s="470"/>
    </row>
    <row r="22" spans="1:13" x14ac:dyDescent="0.25">
      <c r="A22" s="470" t="s">
        <v>236</v>
      </c>
      <c r="B22" s="533"/>
      <c r="C22" s="470"/>
      <c r="D22" s="470"/>
      <c r="E22" s="470"/>
      <c r="F22" s="470"/>
      <c r="G22" s="470"/>
      <c r="H22" s="470"/>
      <c r="I22" s="470"/>
    </row>
    <row r="23" spans="1:13" x14ac:dyDescent="0.25">
      <c r="A23" s="446" t="s">
        <v>231</v>
      </c>
      <c r="B23" s="472"/>
      <c r="C23" s="470"/>
      <c r="D23" s="470" t="s">
        <v>237</v>
      </c>
      <c r="E23" s="470"/>
      <c r="F23" s="470"/>
      <c r="G23" s="470"/>
      <c r="H23" s="470"/>
      <c r="I23" s="470"/>
    </row>
    <row r="24" spans="1:13" ht="13" x14ac:dyDescent="0.3">
      <c r="A24" s="444" t="s">
        <v>845</v>
      </c>
      <c r="B24" s="472"/>
      <c r="C24" s="470"/>
      <c r="D24" s="470"/>
      <c r="G24" s="570" t="s">
        <v>406</v>
      </c>
      <c r="H24" s="447">
        <f>H16*150</f>
        <v>200000</v>
      </c>
      <c r="I24" s="571"/>
    </row>
    <row r="25" spans="1:13" ht="13" x14ac:dyDescent="0.3">
      <c r="A25" s="444" t="s">
        <v>233</v>
      </c>
      <c r="B25" s="472">
        <f>SUM(B21:B22)</f>
        <v>5309.8384874712301</v>
      </c>
      <c r="C25" s="470"/>
      <c r="D25" s="470"/>
      <c r="G25" s="570" t="s">
        <v>762</v>
      </c>
      <c r="H25" s="447">
        <f>-150*27</f>
        <v>-4050</v>
      </c>
      <c r="J25" s="447">
        <f>B29-B27</f>
        <v>1848.0435909852622</v>
      </c>
      <c r="K25" s="445" t="s">
        <v>879</v>
      </c>
    </row>
    <row r="26" spans="1:13" x14ac:dyDescent="0.25">
      <c r="A26" s="445" t="s">
        <v>234</v>
      </c>
      <c r="B26" s="447">
        <f>'2627 Band Values'!H6-660</f>
        <v>6924.8789331992784</v>
      </c>
      <c r="C26" s="445" t="s">
        <v>877</v>
      </c>
      <c r="D26" s="470"/>
      <c r="G26" s="570" t="s">
        <v>761</v>
      </c>
      <c r="H26" s="447">
        <f>-15000</f>
        <v>-15000</v>
      </c>
    </row>
    <row r="27" spans="1:13" x14ac:dyDescent="0.25">
      <c r="A27" s="445" t="s">
        <v>235</v>
      </c>
      <c r="B27" s="924">
        <f>('Staff Pay Schedule'!N59/80)+H35</f>
        <v>8151.9564090147378</v>
      </c>
      <c r="C27" s="470"/>
      <c r="D27" s="470"/>
      <c r="G27" s="570" t="s">
        <v>759</v>
      </c>
      <c r="H27" s="447">
        <f>-10000</f>
        <v>-10000</v>
      </c>
    </row>
    <row r="28" spans="1:13" x14ac:dyDescent="0.25">
      <c r="A28" s="445" t="s">
        <v>236</v>
      </c>
      <c r="B28" s="924"/>
      <c r="C28" s="470"/>
      <c r="D28" s="470"/>
      <c r="G28" s="570" t="s">
        <v>763</v>
      </c>
      <c r="H28" s="447">
        <f>-10000</f>
        <v>-10000</v>
      </c>
    </row>
    <row r="29" spans="1:13" x14ac:dyDescent="0.25">
      <c r="B29" s="448">
        <f>IF(B26+B27&gt;10000,(10000),(B26+B27))</f>
        <v>10000</v>
      </c>
      <c r="C29" s="470"/>
      <c r="D29" s="470"/>
      <c r="E29" s="470"/>
      <c r="F29" s="470"/>
      <c r="G29" s="570" t="s">
        <v>760</v>
      </c>
      <c r="H29" s="447">
        <f>-5000</f>
        <v>-5000</v>
      </c>
    </row>
    <row r="30" spans="1:13" x14ac:dyDescent="0.25">
      <c r="B30" s="472" t="e">
        <v>#REF!</v>
      </c>
      <c r="C30" s="470"/>
      <c r="D30" s="470"/>
      <c r="E30" s="470"/>
      <c r="G30" s="641"/>
      <c r="H30" s="642">
        <f>SUM(H24:H29)</f>
        <v>155950</v>
      </c>
      <c r="I30" s="470"/>
    </row>
    <row r="31" spans="1:13" x14ac:dyDescent="0.25">
      <c r="B31" s="450">
        <f>SUM(B26:B28)</f>
        <v>15076.835342214017</v>
      </c>
      <c r="C31" s="470"/>
      <c r="D31" s="470" t="s">
        <v>247</v>
      </c>
      <c r="E31" s="470"/>
      <c r="G31" s="570" t="s">
        <v>407</v>
      </c>
      <c r="H31" s="447">
        <f>H30*(100%-3.4%)</f>
        <v>150647.69999999998</v>
      </c>
      <c r="M31" s="451"/>
    </row>
    <row r="32" spans="1:13" x14ac:dyDescent="0.25">
      <c r="B32" s="470"/>
      <c r="C32" s="470"/>
      <c r="D32" s="470"/>
      <c r="E32" s="470"/>
      <c r="G32" s="570" t="s">
        <v>408</v>
      </c>
      <c r="H32" s="447">
        <f>H31*1.017</f>
        <v>153208.71089999998</v>
      </c>
      <c r="I32" s="569">
        <v>1.7000000000000001E-2</v>
      </c>
      <c r="M32" s="451"/>
    </row>
    <row r="33" spans="1:13" ht="13" x14ac:dyDescent="0.3">
      <c r="A33" s="444" t="s">
        <v>240</v>
      </c>
      <c r="B33" s="470"/>
      <c r="C33" s="470"/>
      <c r="D33" s="470"/>
      <c r="E33" s="470"/>
      <c r="G33" s="570" t="s">
        <v>409</v>
      </c>
      <c r="H33" s="572">
        <f>H32*1.038</f>
        <v>159030.64191419998</v>
      </c>
      <c r="I33" s="569">
        <v>3.7999999999999999E-2</v>
      </c>
      <c r="M33" s="451"/>
    </row>
    <row r="34" spans="1:13" x14ac:dyDescent="0.25">
      <c r="A34" s="445" t="s">
        <v>848</v>
      </c>
      <c r="B34" s="447">
        <f>IF($B$26+$B$27&gt;10000,($B$26+$B$27-10000),(0))</f>
        <v>5076.8353422140171</v>
      </c>
      <c r="C34" s="470"/>
      <c r="D34" s="470"/>
      <c r="E34" s="470"/>
      <c r="F34" s="470"/>
      <c r="G34" s="570"/>
      <c r="H34" s="447"/>
      <c r="M34" s="451"/>
    </row>
    <row r="35" spans="1:13" ht="13" x14ac:dyDescent="0.3">
      <c r="A35" s="445" t="s">
        <v>414</v>
      </c>
      <c r="B35" s="757">
        <f>IF($B$26+$B$27&gt;10000,($B$26+$B$27-10000+'2627 Band Values'!H18),(0))</f>
        <v>14269.532752078787</v>
      </c>
      <c r="C35" s="650"/>
      <c r="D35" s="470"/>
      <c r="E35" s="470"/>
      <c r="F35" s="470"/>
      <c r="G35" s="470"/>
      <c r="H35" s="643">
        <f>H33/80</f>
        <v>1987.8830239274998</v>
      </c>
      <c r="I35" s="470"/>
      <c r="M35" s="451"/>
    </row>
    <row r="36" spans="1:13" x14ac:dyDescent="0.25">
      <c r="A36" s="445" t="s">
        <v>244</v>
      </c>
      <c r="B36" s="447">
        <f>IF($B$26+$B$27&gt;10000,($B$26+$B$27-10000+'2627 Band Values'!H11),(0))</f>
        <v>30237.589026709502</v>
      </c>
    </row>
    <row r="37" spans="1:13" x14ac:dyDescent="0.25">
      <c r="C37" s="571">
        <f>B35-B34</f>
        <v>9192.6974098647697</v>
      </c>
    </row>
    <row r="39" spans="1:13" x14ac:dyDescent="0.25">
      <c r="C39" s="571"/>
    </row>
    <row r="40" spans="1:13" x14ac:dyDescent="0.25">
      <c r="C40" s="571"/>
    </row>
  </sheetData>
  <mergeCells count="2">
    <mergeCell ref="B11:B12"/>
    <mergeCell ref="B27:B2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8FF5-958A-4DC6-9D57-5515BB1C0A81}">
  <sheetPr>
    <tabColor rgb="FF92D050"/>
  </sheetPr>
  <dimension ref="A1:AX65"/>
  <sheetViews>
    <sheetView workbookViewId="0">
      <selection activeCell="Y15" sqref="Y15"/>
    </sheetView>
  </sheetViews>
  <sheetFormatPr defaultColWidth="10.1796875" defaultRowHeight="12.5" x14ac:dyDescent="0.25"/>
  <cols>
    <col min="1" max="1" width="10.1796875" style="475"/>
    <col min="2" max="2" width="31.54296875" style="475" customWidth="1"/>
    <col min="3" max="3" width="26.54296875" style="475" customWidth="1"/>
    <col min="4" max="5" width="15.81640625" style="476" customWidth="1"/>
    <col min="6" max="6" width="16.453125" style="476" customWidth="1"/>
    <col min="7" max="7" width="15.81640625" style="476" customWidth="1"/>
    <col min="8" max="8" width="15.81640625" style="475" customWidth="1"/>
    <col min="9" max="9" width="22.1796875" style="475" customWidth="1"/>
    <col min="10" max="10" width="15.81640625" style="475" customWidth="1"/>
    <col min="11" max="11" width="15.81640625" style="476" customWidth="1"/>
    <col min="12" max="12" width="17.1796875" style="475" customWidth="1"/>
    <col min="13" max="13" width="10.1796875" style="476" customWidth="1"/>
    <col min="14" max="16" width="13.81640625" style="475" customWidth="1"/>
    <col min="17" max="17" width="10.81640625" style="475" customWidth="1"/>
    <col min="18" max="19" width="11.1796875" style="475" customWidth="1"/>
    <col min="20" max="20" width="10.1796875" style="475" customWidth="1"/>
    <col min="21" max="21" width="10.81640625" style="496" customWidth="1"/>
    <col min="22" max="22" width="11.81640625" style="476" customWidth="1"/>
    <col min="23" max="23" width="10.81640625" style="476" customWidth="1"/>
    <col min="24" max="24" width="11.1796875" style="475" customWidth="1"/>
    <col min="25" max="25" width="11.54296875" style="476" customWidth="1"/>
    <col min="26" max="29" width="12.54296875" style="475" customWidth="1"/>
    <col min="30" max="31" width="1.1796875" style="475" customWidth="1"/>
    <col min="32" max="34" width="12.7265625" style="475" customWidth="1"/>
    <col min="35" max="37" width="10.1796875" style="475" customWidth="1"/>
    <col min="38" max="39" width="10.1796875" style="475"/>
    <col min="40" max="40" width="10.26953125" style="475" customWidth="1"/>
    <col min="41" max="42" width="10.54296875" style="475" customWidth="1"/>
    <col min="43" max="49" width="10.7265625" style="475" customWidth="1"/>
    <col min="50" max="16384" width="10.1796875" style="475"/>
  </cols>
  <sheetData>
    <row r="1" spans="1:50" ht="17.5" x14ac:dyDescent="0.35">
      <c r="B1" s="497" t="s">
        <v>309</v>
      </c>
      <c r="R1" s="475" t="s">
        <v>310</v>
      </c>
      <c r="Z1" s="444" t="s">
        <v>231</v>
      </c>
      <c r="AF1" s="929" t="s">
        <v>367</v>
      </c>
      <c r="AG1" s="929"/>
      <c r="AH1" s="929"/>
      <c r="AI1" s="929"/>
      <c r="AJ1" s="926" t="s">
        <v>388</v>
      </c>
      <c r="AK1" s="926"/>
      <c r="AL1" s="926"/>
      <c r="AM1" s="926"/>
      <c r="AN1" s="926"/>
    </row>
    <row r="2" spans="1:50" ht="12.75" customHeight="1" x14ac:dyDescent="0.25">
      <c r="AA2" s="927" t="s">
        <v>232</v>
      </c>
      <c r="AB2" s="927"/>
      <c r="AC2" s="927"/>
      <c r="AF2" s="928" t="s">
        <v>366</v>
      </c>
      <c r="AG2" s="928"/>
      <c r="AH2" s="928"/>
      <c r="AI2" s="928"/>
      <c r="AJ2" s="547"/>
      <c r="AK2" s="547"/>
      <c r="AL2" s="547" t="s">
        <v>370</v>
      </c>
      <c r="AM2" s="547"/>
      <c r="AN2" s="547"/>
      <c r="AQ2" s="525"/>
      <c r="AU2" s="491">
        <v>0.05</v>
      </c>
      <c r="AV2" s="491">
        <v>0.5</v>
      </c>
    </row>
    <row r="3" spans="1:50" ht="39" customHeight="1" x14ac:dyDescent="0.25">
      <c r="A3" s="498" t="s">
        <v>278</v>
      </c>
      <c r="B3" s="480" t="s">
        <v>279</v>
      </c>
      <c r="C3" s="499" t="s">
        <v>311</v>
      </c>
      <c r="D3" s="500" t="s">
        <v>312</v>
      </c>
      <c r="E3" s="500" t="s">
        <v>313</v>
      </c>
      <c r="F3" s="501" t="s">
        <v>314</v>
      </c>
      <c r="G3" s="501" t="s">
        <v>315</v>
      </c>
      <c r="H3" s="499" t="s">
        <v>316</v>
      </c>
      <c r="I3" s="499" t="s">
        <v>317</v>
      </c>
      <c r="J3" s="501" t="s">
        <v>318</v>
      </c>
      <c r="K3" s="499" t="s">
        <v>319</v>
      </c>
      <c r="L3" s="499" t="s">
        <v>320</v>
      </c>
      <c r="M3" s="502" t="s">
        <v>260</v>
      </c>
      <c r="N3" s="503" t="s">
        <v>321</v>
      </c>
      <c r="O3" s="504" t="s">
        <v>322</v>
      </c>
      <c r="P3" s="505" t="s">
        <v>323</v>
      </c>
      <c r="Q3" s="505" t="s">
        <v>324</v>
      </c>
      <c r="R3" s="505" t="s">
        <v>325</v>
      </c>
      <c r="S3" s="505" t="s">
        <v>326</v>
      </c>
      <c r="T3" s="499" t="s">
        <v>327</v>
      </c>
      <c r="U3" s="506" t="s">
        <v>328</v>
      </c>
      <c r="V3" s="507" t="s">
        <v>240</v>
      </c>
      <c r="W3" s="507" t="s">
        <v>329</v>
      </c>
      <c r="X3" s="506" t="s">
        <v>330</v>
      </c>
      <c r="Y3" s="499" t="s">
        <v>788</v>
      </c>
      <c r="Z3" s="665" t="s">
        <v>233</v>
      </c>
      <c r="AA3" s="665" t="s">
        <v>240</v>
      </c>
      <c r="AB3" s="666" t="s">
        <v>318</v>
      </c>
      <c r="AC3" s="667" t="s">
        <v>331</v>
      </c>
      <c r="AD3" s="667"/>
      <c r="AE3" s="667"/>
      <c r="AF3" s="665" t="s">
        <v>240</v>
      </c>
      <c r="AG3" s="666" t="s">
        <v>318</v>
      </c>
      <c r="AH3" s="667" t="s">
        <v>331</v>
      </c>
      <c r="AI3" s="665" t="s">
        <v>369</v>
      </c>
      <c r="AJ3" s="665" t="s">
        <v>382</v>
      </c>
      <c r="AK3" s="665" t="s">
        <v>385</v>
      </c>
      <c r="AL3" s="665" t="s">
        <v>318</v>
      </c>
      <c r="AM3" s="667" t="s">
        <v>331</v>
      </c>
      <c r="AN3" s="665" t="s">
        <v>369</v>
      </c>
      <c r="AO3" s="665" t="s">
        <v>791</v>
      </c>
      <c r="AP3" s="665" t="s">
        <v>792</v>
      </c>
      <c r="AQ3" s="665" t="s">
        <v>411</v>
      </c>
      <c r="AR3" s="508" t="s">
        <v>318</v>
      </c>
      <c r="AS3" s="509" t="s">
        <v>331</v>
      </c>
      <c r="AT3" s="508" t="s">
        <v>369</v>
      </c>
      <c r="AU3" s="508"/>
      <c r="AV3" s="508"/>
      <c r="AW3" s="508"/>
    </row>
    <row r="4" spans="1:50" x14ac:dyDescent="0.25">
      <c r="A4" s="482">
        <v>9257010</v>
      </c>
      <c r="B4" s="480" t="str">
        <f>VLOOKUP(A4,'2627 Funding Detail'!$A$3:$B$19,2,(FALSE))</f>
        <v>Boston Endeavour Academy</v>
      </c>
      <c r="C4" s="510" t="s">
        <v>333</v>
      </c>
      <c r="D4" s="511">
        <v>614312</v>
      </c>
      <c r="E4" s="511">
        <v>161337</v>
      </c>
      <c r="F4" s="511"/>
      <c r="G4" s="511"/>
      <c r="H4" s="512">
        <v>2108626.2167755994</v>
      </c>
      <c r="I4" s="511">
        <v>34713</v>
      </c>
      <c r="J4" s="511">
        <v>2918988.2167755994</v>
      </c>
      <c r="K4" s="512">
        <v>2918988.2167755994</v>
      </c>
      <c r="L4" s="674">
        <v>156.83333333333334</v>
      </c>
      <c r="M4" s="496">
        <v>373234.63180827885</v>
      </c>
      <c r="N4" s="513">
        <v>142.48257080610023</v>
      </c>
      <c r="O4" s="496">
        <v>12179.676258992808</v>
      </c>
      <c r="P4" s="514">
        <v>82.458329797119717</v>
      </c>
      <c r="Q4" s="514">
        <v>2919070.6751053967</v>
      </c>
      <c r="R4" s="496">
        <v>1568333.3333333335</v>
      </c>
      <c r="S4" s="496">
        <v>0</v>
      </c>
      <c r="T4" s="506">
        <v>18612.565409811243</v>
      </c>
      <c r="U4" s="506">
        <v>1568333.3333333335</v>
      </c>
      <c r="V4" s="506">
        <v>8612.5654098112427</v>
      </c>
      <c r="W4" s="511">
        <v>1350737.3417720632</v>
      </c>
      <c r="X4" s="511">
        <v>2919070.6751053967</v>
      </c>
      <c r="Y4" s="511">
        <f>J4-I4+P4</f>
        <v>2884357.6751053967</v>
      </c>
      <c r="Z4" s="511">
        <f>L4*Summary!$B$13</f>
        <v>1568333.3333333335</v>
      </c>
      <c r="AA4" s="511">
        <f>VLOOKUP(A4,'2526 Band Calculations'!$1:$1048576,18,(FALSE))</f>
        <v>1496510.7850647839</v>
      </c>
      <c r="AB4" s="511">
        <f>SUM(Z4:AA4)</f>
        <v>3064844.1183981174</v>
      </c>
      <c r="AC4" s="668">
        <f>AB4-J4+I4</f>
        <v>180568.90162251797</v>
      </c>
      <c r="AD4" s="668"/>
      <c r="AE4" s="668"/>
      <c r="AF4" s="511">
        <f>VLOOKUP(A4,'2526 Band Calculations'!$1:$1048576,21,(FALSE))</f>
        <v>1468785.1118621696</v>
      </c>
      <c r="AG4" s="511">
        <f>Z4+AF4</f>
        <v>3037118.4451955031</v>
      </c>
      <c r="AH4" s="511">
        <f>AG4-J4+I4</f>
        <v>152843.22841990367</v>
      </c>
      <c r="AI4" s="669">
        <f>AH4/(J4-I4)</f>
        <v>5.2991901581004738E-2</v>
      </c>
      <c r="AJ4" s="670">
        <f>VLOOKUP(A4,'Fixed Costs'!$A$3:$R$15,14,(FALSE))</f>
        <v>0</v>
      </c>
      <c r="AK4" s="670">
        <f>VLOOKUP(A4,'Fixed Costs'!$A$3:$R$15,16,(FALSE))</f>
        <v>0</v>
      </c>
      <c r="AL4" s="670">
        <f>AG4+AJ4+AK4</f>
        <v>3037118.4451955031</v>
      </c>
      <c r="AM4" s="670">
        <f>AL4-J4+I4-P4</f>
        <v>152760.77009010655</v>
      </c>
      <c r="AN4" s="671">
        <f>AM4/(J4-I4+P4)</f>
        <v>5.2961798534408376E-2</v>
      </c>
      <c r="AO4" s="671">
        <f>IF(AN4&gt;$AU$2,(($AU$2)+((AN4-$AU$2)*$AV$2)),(AN4))</f>
        <v>5.1480899267204186E-2</v>
      </c>
      <c r="AP4" s="670">
        <f>AM4/AN4*AO4</f>
        <v>148489.3269226882</v>
      </c>
      <c r="AQ4" s="670">
        <f>VLOOKUP(A4,'2526 Band Calculations'!$1:$1048576,23,(FALSE))</f>
        <v>27070.747669813762</v>
      </c>
      <c r="AR4" s="544">
        <f>AQ4+AL4</f>
        <v>3064189.1928653168</v>
      </c>
      <c r="AS4" s="544">
        <f>AR4-J4+I4</f>
        <v>179913.97608971735</v>
      </c>
      <c r="AT4" s="539">
        <f t="shared" ref="AT4:AT15" si="0">AS4/(J4-I4)</f>
        <v>6.2377534239207423E-2</v>
      </c>
      <c r="AU4" s="539">
        <f>IF(AT4&gt;$AU$2,(($AU$2)+((AT4-$AU$2)*$AV$2)),(AT4))</f>
        <v>5.6188767119603716E-2</v>
      </c>
      <c r="AV4" s="544">
        <f>AS4/AT4*AU4</f>
        <v>162063.86846424869</v>
      </c>
      <c r="AW4" s="544">
        <f>AS4-AV4</f>
        <v>17850.107625468663</v>
      </c>
      <c r="AX4" s="475" t="s">
        <v>334</v>
      </c>
    </row>
    <row r="5" spans="1:50" x14ac:dyDescent="0.25">
      <c r="A5" s="482">
        <v>9257005</v>
      </c>
      <c r="B5" s="480" t="str">
        <f>VLOOKUP(A5,'2627 Funding Detail'!$A$3:$B$19,2,(FALSE))</f>
        <v>Newton Bridge Academy</v>
      </c>
      <c r="C5" s="510" t="s">
        <v>335</v>
      </c>
      <c r="D5" s="511">
        <v>765070.5</v>
      </c>
      <c r="E5" s="511">
        <v>179765.5</v>
      </c>
      <c r="F5" s="511"/>
      <c r="G5" s="516">
        <v>381262</v>
      </c>
      <c r="H5" s="512">
        <v>3206842.705128205</v>
      </c>
      <c r="I5" s="511">
        <v>22811.399999999998</v>
      </c>
      <c r="J5" s="511">
        <v>4555752.10512821</v>
      </c>
      <c r="K5" s="512">
        <v>4174490.10512821</v>
      </c>
      <c r="L5" s="674">
        <v>257</v>
      </c>
      <c r="M5" s="496">
        <v>457029.47008547018</v>
      </c>
      <c r="N5" s="513">
        <v>239.42735042735043</v>
      </c>
      <c r="O5" s="496">
        <v>11484.958715596329</v>
      </c>
      <c r="P5" s="514">
        <v>0</v>
      </c>
      <c r="Q5" s="514">
        <v>4174490.1051282054</v>
      </c>
      <c r="R5" s="496">
        <v>2570000</v>
      </c>
      <c r="S5" s="496">
        <v>0</v>
      </c>
      <c r="T5" s="506">
        <v>16243.152160031928</v>
      </c>
      <c r="U5" s="506">
        <v>2570000</v>
      </c>
      <c r="V5" s="506">
        <v>6243.1521600319284</v>
      </c>
      <c r="W5" s="511">
        <v>1604490.1051282054</v>
      </c>
      <c r="X5" s="511">
        <v>4174490.1051282054</v>
      </c>
      <c r="Y5" s="511">
        <f t="shared" ref="Y5:Y15" si="1">J5-I5+P5</f>
        <v>4532940.7051282097</v>
      </c>
      <c r="Z5" s="511">
        <f>L5*Summary!$B$13</f>
        <v>2570000</v>
      </c>
      <c r="AA5" s="511">
        <f>VLOOKUP(A5,'2526 Band Calculations'!$1:$1048576,18,(FALSE))</f>
        <v>2145956.3272957513</v>
      </c>
      <c r="AB5" s="511">
        <f t="shared" ref="AB5:AB15" si="2">SUM(Z5:AA5)</f>
        <v>4715956.3272957513</v>
      </c>
      <c r="AC5" s="668">
        <f t="shared" ref="AC5:AC15" si="3">AB5-J5+I5</f>
        <v>183015.62216754127</v>
      </c>
      <c r="AD5" s="668"/>
      <c r="AE5" s="668"/>
      <c r="AF5" s="511">
        <f>VLOOKUP(A5,'2526 Band Calculations'!$1:$1048576,21,(FALSE))</f>
        <v>2112005.9683213923</v>
      </c>
      <c r="AG5" s="511">
        <f>Z5+AF5</f>
        <v>4682005.9683213923</v>
      </c>
      <c r="AH5" s="511">
        <f t="shared" ref="AH5:AH15" si="4">AG5-J5+I5</f>
        <v>149065.26319318227</v>
      </c>
      <c r="AI5" s="669">
        <f t="shared" ref="AI5:AI15" si="5">AH5/(J5-I5)</f>
        <v>3.2884891484360614E-2</v>
      </c>
      <c r="AJ5" s="670">
        <f>VLOOKUP(A5,'Fixed Costs'!$A$3:$R$15,14,(FALSE))</f>
        <v>82700</v>
      </c>
      <c r="AK5" s="670">
        <f>VLOOKUP(A5,'Fixed Costs'!$A$3:$R$15,16,(FALSE))</f>
        <v>0</v>
      </c>
      <c r="AL5" s="670">
        <f>AG5+AJ5+AK5</f>
        <v>4764705.9683213923</v>
      </c>
      <c r="AM5" s="670">
        <f t="shared" ref="AM5:AM15" si="6">AL5-J5+I5-P5</f>
        <v>231765.26319318227</v>
      </c>
      <c r="AN5" s="671">
        <f t="shared" ref="AN5:AN15" si="7">AM5/(J5-I5+P5)</f>
        <v>5.1129118660427526E-2</v>
      </c>
      <c r="AO5" s="671">
        <f t="shared" ref="AO5:AO15" si="8">IF(AN5&gt;$AU$2,(($AU$2)+((AN5-$AU$2)*$AV$2)),(AN5))</f>
        <v>5.0564559330213768E-2</v>
      </c>
      <c r="AP5" s="670">
        <f t="shared" ref="AP5:AP15" si="9">AM5/AN5*AO5</f>
        <v>229206.14922479639</v>
      </c>
      <c r="AQ5" s="670">
        <f>VLOOKUP(A5,'2526 Band Calculations'!$1:$1048576,23,(FALSE))</f>
        <v>53008.857766124966</v>
      </c>
      <c r="AR5" s="544">
        <f t="shared" ref="AR5:AR15" si="10">AQ5+AL5</f>
        <v>4817714.8260875177</v>
      </c>
      <c r="AS5" s="544">
        <f t="shared" ref="AS5:AS15" si="11">AR5-J5+I5</f>
        <v>284774.12095930765</v>
      </c>
      <c r="AT5" s="539">
        <f t="shared" si="0"/>
        <v>6.2823261869968158E-2</v>
      </c>
      <c r="AU5" s="539">
        <f t="shared" ref="AU5:AU15" si="12">IF(AT5&gt;$AU$2,(($AU$2)+((AT5-$AU$2)*$AV$2)),(AT5))</f>
        <v>5.6411630934984081E-2</v>
      </c>
      <c r="AV5" s="544">
        <f t="shared" ref="AV5:AV15" si="13">AS5/AT5*AU5</f>
        <v>255710.57810785907</v>
      </c>
      <c r="AW5" s="544">
        <f t="shared" ref="AW5:AW15" si="14">AS5-AV5</f>
        <v>29063.542851448583</v>
      </c>
    </row>
    <row r="6" spans="1:50" x14ac:dyDescent="0.25">
      <c r="A6" s="482">
        <v>9257025</v>
      </c>
      <c r="B6" s="480" t="str">
        <f>VLOOKUP(A6,'2627 Funding Detail'!$A$3:$B$19,2,(FALSE))</f>
        <v>St Bernards School, Louth</v>
      </c>
      <c r="C6" s="518" t="s">
        <v>337</v>
      </c>
      <c r="D6" s="511">
        <v>516137</v>
      </c>
      <c r="E6" s="511">
        <v>137954</v>
      </c>
      <c r="F6" s="511"/>
      <c r="G6" s="511"/>
      <c r="H6" s="512">
        <v>1333302.6666666665</v>
      </c>
      <c r="I6" s="511">
        <v>17852.399999999998</v>
      </c>
      <c r="J6" s="511">
        <v>2005246.0666666664</v>
      </c>
      <c r="K6" s="512">
        <v>2005246.0666666664</v>
      </c>
      <c r="L6" s="674">
        <v>110</v>
      </c>
      <c r="M6" s="496">
        <v>136232.38095238095</v>
      </c>
      <c r="N6" s="513">
        <v>104.76190476190476</v>
      </c>
      <c r="O6" s="496">
        <v>11426.579999999998</v>
      </c>
      <c r="P6" s="514">
        <v>3813.0086333454437</v>
      </c>
      <c r="Q6" s="514">
        <v>2009059.0753000118</v>
      </c>
      <c r="R6" s="496">
        <v>1100000</v>
      </c>
      <c r="S6" s="496">
        <v>0</v>
      </c>
      <c r="T6" s="506">
        <v>18264.17341181829</v>
      </c>
      <c r="U6" s="506">
        <v>1100000</v>
      </c>
      <c r="V6" s="506">
        <v>8264.1734118182903</v>
      </c>
      <c r="W6" s="511">
        <v>909059.07530001178</v>
      </c>
      <c r="X6" s="511">
        <v>2009059.0753000118</v>
      </c>
      <c r="Y6" s="511">
        <f t="shared" si="1"/>
        <v>1991206.6753000119</v>
      </c>
      <c r="Z6" s="511">
        <f>L6*Summary!$B$13</f>
        <v>1100000</v>
      </c>
      <c r="AA6" s="511">
        <f>VLOOKUP(A6,'2526 Band Calculations'!$1:$1048576,18,(FALSE))</f>
        <v>858232.61240623263</v>
      </c>
      <c r="AB6" s="511">
        <f t="shared" si="2"/>
        <v>1958232.6124062326</v>
      </c>
      <c r="AC6" s="672">
        <f t="shared" si="3"/>
        <v>-29161.054260433793</v>
      </c>
      <c r="AD6" s="668"/>
      <c r="AE6" s="668"/>
      <c r="AF6" s="511">
        <f>VLOOKUP(A6,'2526 Band Calculations'!$1:$1048576,21,(FALSE))</f>
        <v>848112.61240623263</v>
      </c>
      <c r="AG6" s="511">
        <f t="shared" ref="AG6:AG15" si="15">Z6+AF6</f>
        <v>1948112.6124062326</v>
      </c>
      <c r="AH6" s="673">
        <f t="shared" si="4"/>
        <v>-39281.054260433797</v>
      </c>
      <c r="AI6" s="669">
        <f t="shared" si="5"/>
        <v>-1.9765109912178346E-2</v>
      </c>
      <c r="AJ6" s="670">
        <f>VLOOKUP(A6,'Fixed Costs'!$A$3:$R$15,14,(FALSE))</f>
        <v>0</v>
      </c>
      <c r="AK6" s="670">
        <f>VLOOKUP(A6,'Fixed Costs'!$A$3:$R$15,16,(FALSE))</f>
        <v>66160</v>
      </c>
      <c r="AL6" s="670">
        <f t="shared" ref="AL6:AL15" si="16">AG6+AJ6+AK6</f>
        <v>2014272.6124062326</v>
      </c>
      <c r="AM6" s="670">
        <f t="shared" si="6"/>
        <v>23065.937106220765</v>
      </c>
      <c r="AN6" s="671">
        <f t="shared" si="7"/>
        <v>1.1583899045911674E-2</v>
      </c>
      <c r="AO6" s="671">
        <f t="shared" si="8"/>
        <v>1.1583899045911674E-2</v>
      </c>
      <c r="AP6" s="670">
        <f t="shared" si="9"/>
        <v>23065.937106220765</v>
      </c>
      <c r="AQ6" s="670">
        <f>VLOOKUP(A6,'2526 Band Calculations'!$1:$1048576,23,(FALSE))</f>
        <v>26235.623543304322</v>
      </c>
      <c r="AR6" s="544">
        <f t="shared" si="10"/>
        <v>2040508.235949537</v>
      </c>
      <c r="AS6" s="544">
        <f t="shared" si="11"/>
        <v>53114.569282870594</v>
      </c>
      <c r="AT6" s="539">
        <f t="shared" si="0"/>
        <v>2.6725741444047369E-2</v>
      </c>
      <c r="AU6" s="539">
        <f t="shared" si="12"/>
        <v>2.6725741444047369E-2</v>
      </c>
      <c r="AV6" s="544">
        <f t="shared" si="13"/>
        <v>53114.569282870594</v>
      </c>
      <c r="AW6" s="544">
        <f t="shared" si="14"/>
        <v>0</v>
      </c>
      <c r="AX6" s="475" t="s">
        <v>386</v>
      </c>
    </row>
    <row r="7" spans="1:50" x14ac:dyDescent="0.25">
      <c r="A7" s="482">
        <v>9257024</v>
      </c>
      <c r="B7" s="480" t="str">
        <f>VLOOKUP(A7,'2627 Funding Detail'!$A$3:$B$19,2,(FALSE))</f>
        <v>The Eresby School</v>
      </c>
      <c r="C7" s="518" t="s">
        <v>339</v>
      </c>
      <c r="D7" s="511">
        <v>470457</v>
      </c>
      <c r="E7" s="511">
        <v>131813</v>
      </c>
      <c r="F7" s="511"/>
      <c r="G7" s="511"/>
      <c r="H7" s="512">
        <v>1189913.6254125412</v>
      </c>
      <c r="I7" s="511">
        <v>20331.899999999998</v>
      </c>
      <c r="J7" s="511">
        <v>1812515.5254125411</v>
      </c>
      <c r="K7" s="512">
        <v>1812515.5254125411</v>
      </c>
      <c r="L7" s="674">
        <v>108.83333333333334</v>
      </c>
      <c r="M7" s="496">
        <v>168150.73267326731</v>
      </c>
      <c r="N7" s="513">
        <v>102.36798679867988</v>
      </c>
      <c r="O7" s="496">
        <v>9981.2736842105242</v>
      </c>
      <c r="P7" s="514">
        <v>4780.2404430071419</v>
      </c>
      <c r="Q7" s="514">
        <v>1817295.7658555482</v>
      </c>
      <c r="R7" s="496">
        <v>1088333.3333333335</v>
      </c>
      <c r="S7" s="496">
        <v>0</v>
      </c>
      <c r="T7" s="506">
        <v>16697.970283511928</v>
      </c>
      <c r="U7" s="506">
        <v>1088333.3333333335</v>
      </c>
      <c r="V7" s="506">
        <v>6697.9702835119278</v>
      </c>
      <c r="W7" s="511">
        <v>728962.43252221472</v>
      </c>
      <c r="X7" s="511">
        <v>1817295.7658555482</v>
      </c>
      <c r="Y7" s="511">
        <f t="shared" si="1"/>
        <v>1796963.8658555483</v>
      </c>
      <c r="Z7" s="511">
        <f>L7*Summary!$B$13</f>
        <v>1088333.3333333335</v>
      </c>
      <c r="AA7" s="511">
        <f>VLOOKUP(A7,'2526 Band Calculations'!$1:$1048576,18,(FALSE))</f>
        <v>732392.95572157996</v>
      </c>
      <c r="AB7" s="511">
        <f t="shared" si="2"/>
        <v>1820726.2890549134</v>
      </c>
      <c r="AC7" s="668">
        <f t="shared" si="3"/>
        <v>28542.663642372328</v>
      </c>
      <c r="AD7" s="668"/>
      <c r="AE7" s="668"/>
      <c r="AF7" s="511">
        <f>VLOOKUP(A7,'2526 Band Calculations'!$1:$1048576,21,(FALSE))</f>
        <v>719901.90621662955</v>
      </c>
      <c r="AG7" s="511">
        <f t="shared" si="15"/>
        <v>1808235.239549963</v>
      </c>
      <c r="AH7" s="673">
        <f t="shared" si="4"/>
        <v>16051.614137421919</v>
      </c>
      <c r="AI7" s="669">
        <f t="shared" si="5"/>
        <v>8.9564561966840942E-3</v>
      </c>
      <c r="AJ7" s="670">
        <f>VLOOKUP(A7,'Fixed Costs'!$A$3:$R$15,14,(FALSE))</f>
        <v>0</v>
      </c>
      <c r="AK7" s="670">
        <f>VLOOKUP(A7,'Fixed Costs'!$A$3:$R$15,16,(FALSE))</f>
        <v>68089.666666666657</v>
      </c>
      <c r="AL7" s="670">
        <f t="shared" si="16"/>
        <v>1876324.9062166298</v>
      </c>
      <c r="AM7" s="670">
        <f t="shared" si="6"/>
        <v>79361.040361081512</v>
      </c>
      <c r="AN7" s="671">
        <f t="shared" si="7"/>
        <v>4.4163960037836993E-2</v>
      </c>
      <c r="AO7" s="671">
        <f t="shared" si="8"/>
        <v>4.4163960037836993E-2</v>
      </c>
      <c r="AP7" s="670">
        <f t="shared" si="9"/>
        <v>79361.040361081512</v>
      </c>
      <c r="AQ7" s="670">
        <f>VLOOKUP(A7,'2526 Band Calculations'!$1:$1048576,23,(FALSE))</f>
        <v>28947.954659071267</v>
      </c>
      <c r="AR7" s="544">
        <f t="shared" si="10"/>
        <v>1905272.8608757011</v>
      </c>
      <c r="AS7" s="544">
        <f t="shared" si="11"/>
        <v>113089.23546315994</v>
      </c>
      <c r="AT7" s="539">
        <f t="shared" si="0"/>
        <v>6.310136632183995E-2</v>
      </c>
      <c r="AU7" s="539">
        <f t="shared" si="12"/>
        <v>5.6550683160919976E-2</v>
      </c>
      <c r="AV7" s="544">
        <f t="shared" si="13"/>
        <v>101349.20836689351</v>
      </c>
      <c r="AW7" s="544">
        <f t="shared" si="14"/>
        <v>11740.027096266436</v>
      </c>
    </row>
    <row r="8" spans="1:50" x14ac:dyDescent="0.25">
      <c r="A8" s="482">
        <v>9257033</v>
      </c>
      <c r="B8" s="480" t="str">
        <f>VLOOKUP(A8,'2627 Funding Detail'!$A$3:$B$19,2,(FALSE))</f>
        <v>Mayflower Academy Warren Wood - A Specialist Academy</v>
      </c>
      <c r="C8" s="518" t="s">
        <v>337</v>
      </c>
      <c r="D8" s="511">
        <v>516137</v>
      </c>
      <c r="E8" s="511">
        <v>137954</v>
      </c>
      <c r="F8" s="519"/>
      <c r="G8" s="511"/>
      <c r="H8" s="512">
        <v>1439652.4351851852</v>
      </c>
      <c r="I8" s="511">
        <v>31241.699999999997</v>
      </c>
      <c r="J8" s="511">
        <v>2124985.1351851854</v>
      </c>
      <c r="K8" s="512">
        <v>2124985.1351851854</v>
      </c>
      <c r="L8" s="674">
        <v>122.41666666666669</v>
      </c>
      <c r="M8" s="496">
        <v>190484.51851851854</v>
      </c>
      <c r="N8" s="513">
        <v>115.09259259259261</v>
      </c>
      <c r="O8" s="496">
        <v>10853.590909090906</v>
      </c>
      <c r="P8" s="514">
        <v>0</v>
      </c>
      <c r="Q8" s="514">
        <v>2124985.1351851854</v>
      </c>
      <c r="R8" s="496">
        <v>1224166.6666666667</v>
      </c>
      <c r="S8" s="496">
        <v>0</v>
      </c>
      <c r="T8" s="506">
        <v>17358.626019211857</v>
      </c>
      <c r="U8" s="506">
        <v>1224166.6666666667</v>
      </c>
      <c r="V8" s="506">
        <v>7358.6260192118571</v>
      </c>
      <c r="W8" s="511">
        <v>900818.46851851861</v>
      </c>
      <c r="X8" s="511">
        <v>2124985.1351851854</v>
      </c>
      <c r="Y8" s="511">
        <f t="shared" si="1"/>
        <v>2093743.4351851854</v>
      </c>
      <c r="Z8" s="511">
        <f>L8*Summary!$B$13</f>
        <v>1224166.6666666667</v>
      </c>
      <c r="AA8" s="511">
        <f>VLOOKUP(A8,'2526 Band Calculations'!$1:$1048576,18,(FALSE))</f>
        <v>912845.59418881568</v>
      </c>
      <c r="AB8" s="511">
        <f t="shared" si="2"/>
        <v>2137012.2608554824</v>
      </c>
      <c r="AC8" s="668">
        <f t="shared" si="3"/>
        <v>43268.825670297068</v>
      </c>
      <c r="AD8" s="668"/>
      <c r="AE8" s="668"/>
      <c r="AF8" s="511">
        <f>VLOOKUP(A8,'2526 Band Calculations'!$1:$1048576,21,(FALSE))</f>
        <v>898695.48307770456</v>
      </c>
      <c r="AG8" s="511">
        <f t="shared" si="15"/>
        <v>2122862.1497443714</v>
      </c>
      <c r="AH8" s="511">
        <f t="shared" si="4"/>
        <v>29118.714559186061</v>
      </c>
      <c r="AI8" s="669">
        <f t="shared" si="5"/>
        <v>1.3907489365625449E-2</v>
      </c>
      <c r="AJ8" s="670">
        <f>VLOOKUP(A8,'Fixed Costs'!$A$3:$R$15,14,(FALSE))</f>
        <v>0</v>
      </c>
      <c r="AK8" s="670">
        <f>VLOOKUP(A8,'Fixed Costs'!$A$3:$R$15,16,(FALSE))</f>
        <v>45622.833333333307</v>
      </c>
      <c r="AL8" s="670">
        <f t="shared" si="16"/>
        <v>2168484.9830777049</v>
      </c>
      <c r="AM8" s="670">
        <f t="shared" si="6"/>
        <v>74741.547892519549</v>
      </c>
      <c r="AN8" s="671">
        <f t="shared" si="7"/>
        <v>3.5697567637225272E-2</v>
      </c>
      <c r="AO8" s="671">
        <f t="shared" si="8"/>
        <v>3.5697567637225272E-2</v>
      </c>
      <c r="AP8" s="670">
        <f t="shared" si="9"/>
        <v>74741.547892519549</v>
      </c>
      <c r="AQ8" s="670">
        <f>VLOOKUP(A8,'2526 Band Calculations'!$1:$1048576,23,(FALSE))</f>
        <v>33825.042557748253</v>
      </c>
      <c r="AR8" s="544">
        <f t="shared" si="10"/>
        <v>2202310.0256354529</v>
      </c>
      <c r="AS8" s="544">
        <f t="shared" si="11"/>
        <v>108566.59045026758</v>
      </c>
      <c r="AT8" s="539">
        <f t="shared" si="0"/>
        <v>5.1852862497770741E-2</v>
      </c>
      <c r="AU8" s="539">
        <f t="shared" si="12"/>
        <v>5.0926431248885372E-2</v>
      </c>
      <c r="AV8" s="544">
        <f t="shared" si="13"/>
        <v>106626.88110476342</v>
      </c>
      <c r="AW8" s="544">
        <f t="shared" si="14"/>
        <v>1939.7093455041613</v>
      </c>
    </row>
    <row r="9" spans="1:50" x14ac:dyDescent="0.25">
      <c r="A9" s="482">
        <v>9257008</v>
      </c>
      <c r="B9" s="480" t="str">
        <f>VLOOKUP(A9,'2627 Funding Detail'!$A$3:$B$19,2,(FALSE))</f>
        <v>Gosberton House Academy</v>
      </c>
      <c r="C9" s="518" t="s">
        <v>339</v>
      </c>
      <c r="D9" s="511">
        <v>470457</v>
      </c>
      <c r="E9" s="511">
        <v>131813</v>
      </c>
      <c r="F9" s="519"/>
      <c r="G9" s="511"/>
      <c r="H9" s="512">
        <v>1124754.1800000002</v>
      </c>
      <c r="I9" s="511">
        <v>17852.399999999998</v>
      </c>
      <c r="J9" s="511">
        <v>1744876.58</v>
      </c>
      <c r="K9" s="512">
        <v>1744876.58</v>
      </c>
      <c r="L9" s="674">
        <v>101</v>
      </c>
      <c r="M9" s="496">
        <v>26268.080000000002</v>
      </c>
      <c r="N9" s="513">
        <v>99.99</v>
      </c>
      <c r="O9" s="496">
        <v>10985.959595959597</v>
      </c>
      <c r="P9" s="514">
        <v>0</v>
      </c>
      <c r="Q9" s="514">
        <v>1744876.58</v>
      </c>
      <c r="R9" s="496">
        <v>1010000</v>
      </c>
      <c r="S9" s="496">
        <v>0</v>
      </c>
      <c r="T9" s="506">
        <v>17276.00574257426</v>
      </c>
      <c r="U9" s="506">
        <v>1010000</v>
      </c>
      <c r="V9" s="506">
        <v>7276.0057425742598</v>
      </c>
      <c r="W9" s="511">
        <v>734876.58000000007</v>
      </c>
      <c r="X9" s="511">
        <v>1744876.58</v>
      </c>
      <c r="Y9" s="511">
        <f t="shared" si="1"/>
        <v>1727024.1800000002</v>
      </c>
      <c r="Z9" s="511">
        <f>L9*Summary!$B$13</f>
        <v>1010000</v>
      </c>
      <c r="AA9" s="511">
        <f>VLOOKUP(A9,'2526 Band Calculations'!$1:$1048576,18,(FALSE))</f>
        <v>647845.45116099797</v>
      </c>
      <c r="AB9" s="511">
        <f t="shared" si="2"/>
        <v>1657845.4511609981</v>
      </c>
      <c r="AC9" s="672">
        <f t="shared" si="3"/>
        <v>-69178.728839001997</v>
      </c>
      <c r="AD9" s="668"/>
      <c r="AE9" s="668"/>
      <c r="AF9" s="511">
        <f>VLOOKUP(A9,'2526 Band Calculations'!$1:$1048576,21,(FALSE))</f>
        <v>645894.1311609979</v>
      </c>
      <c r="AG9" s="511">
        <f t="shared" si="15"/>
        <v>1655894.1311609978</v>
      </c>
      <c r="AH9" s="673">
        <f t="shared" si="4"/>
        <v>-71130.048839002295</v>
      </c>
      <c r="AI9" s="669">
        <f t="shared" si="5"/>
        <v>-4.1186481152222364E-2</v>
      </c>
      <c r="AJ9" s="670">
        <f>VLOOKUP(A9,'Fixed Costs'!$A$3:$R$15,14,(FALSE))</f>
        <v>0</v>
      </c>
      <c r="AK9" s="670">
        <f>VLOOKUP(A9,'Fixed Costs'!$A$3:$R$15,16,(FALSE))</f>
        <v>81046</v>
      </c>
      <c r="AL9" s="670">
        <f t="shared" si="16"/>
        <v>1736940.1311609978</v>
      </c>
      <c r="AM9" s="670">
        <f t="shared" si="6"/>
        <v>9915.9511609977089</v>
      </c>
      <c r="AN9" s="671">
        <f t="shared" si="7"/>
        <v>5.7416400278759898E-3</v>
      </c>
      <c r="AO9" s="671">
        <f t="shared" si="8"/>
        <v>5.7416400278759898E-3</v>
      </c>
      <c r="AP9" s="670">
        <f t="shared" si="9"/>
        <v>9915.9511609977089</v>
      </c>
      <c r="AQ9" s="670">
        <f>VLOOKUP(A9,'2526 Band Calculations'!$1:$1048576,23,(FALSE))</f>
        <v>27592.937620833945</v>
      </c>
      <c r="AR9" s="544">
        <f t="shared" si="10"/>
        <v>1764533.0687818318</v>
      </c>
      <c r="AS9" s="544">
        <f t="shared" si="11"/>
        <v>37508.888781831687</v>
      </c>
      <c r="AT9" s="539">
        <f t="shared" si="0"/>
        <v>2.1718797696180306E-2</v>
      </c>
      <c r="AU9" s="539">
        <f t="shared" si="12"/>
        <v>2.1718797696180306E-2</v>
      </c>
      <c r="AV9" s="544">
        <f t="shared" si="13"/>
        <v>37508.888781831687</v>
      </c>
      <c r="AW9" s="544">
        <f t="shared" si="14"/>
        <v>0</v>
      </c>
      <c r="AX9" s="475" t="s">
        <v>386</v>
      </c>
    </row>
    <row r="10" spans="1:50" x14ac:dyDescent="0.25">
      <c r="A10" s="482">
        <v>9257034</v>
      </c>
      <c r="B10" s="480" t="str">
        <f>VLOOKUP(A10,'2627 Funding Detail'!$A$3:$B$19,2,(FALSE))</f>
        <v>Inspire Connected Communities Trust - Aegir School</v>
      </c>
      <c r="C10" s="518" t="s">
        <v>343</v>
      </c>
      <c r="D10" s="511">
        <v>565224.5</v>
      </c>
      <c r="E10" s="511">
        <v>149645.5</v>
      </c>
      <c r="F10" s="519"/>
      <c r="G10" s="511"/>
      <c r="H10" s="512">
        <v>1636129.1666666667</v>
      </c>
      <c r="I10" s="511">
        <v>35704.799999999996</v>
      </c>
      <c r="J10" s="511">
        <v>2386703.9666666668</v>
      </c>
      <c r="K10" s="512">
        <v>2386703.9666666668</v>
      </c>
      <c r="L10" s="674">
        <v>155.08333333333337</v>
      </c>
      <c r="M10" s="496">
        <v>30100.054726368162</v>
      </c>
      <c r="N10" s="513">
        <v>153.92599502487565</v>
      </c>
      <c r="O10" s="496">
        <v>10433.774436090225</v>
      </c>
      <c r="P10" s="514">
        <v>16567.215091637227</v>
      </c>
      <c r="Q10" s="514">
        <v>2403271.1817583041</v>
      </c>
      <c r="R10" s="496">
        <v>1550833.3333333337</v>
      </c>
      <c r="S10" s="496">
        <v>0</v>
      </c>
      <c r="T10" s="506">
        <v>15496.643837237852</v>
      </c>
      <c r="U10" s="506">
        <v>1550833.3333333337</v>
      </c>
      <c r="V10" s="506">
        <v>5496.6438372378525</v>
      </c>
      <c r="W10" s="511">
        <v>852437.84842497041</v>
      </c>
      <c r="X10" s="511">
        <v>2403271.1817583041</v>
      </c>
      <c r="Y10" s="511">
        <f t="shared" si="1"/>
        <v>2367566.3817583043</v>
      </c>
      <c r="Z10" s="511">
        <f>L10*Summary!$B$13</f>
        <v>1550833.3333333337</v>
      </c>
      <c r="AA10" s="511">
        <f>VLOOKUP(A10,'2526 Band Calculations'!$1:$1048576,18,(FALSE))</f>
        <v>921909.50433141924</v>
      </c>
      <c r="AB10" s="511">
        <f t="shared" si="2"/>
        <v>2472742.8376647532</v>
      </c>
      <c r="AC10" s="668">
        <f t="shared" si="3"/>
        <v>121743.6709980864</v>
      </c>
      <c r="AD10" s="668"/>
      <c r="AE10" s="668"/>
      <c r="AF10" s="511">
        <f>VLOOKUP(A10,'2526 Band Calculations'!$1:$1048576,21,(FALSE))</f>
        <v>919673.52671947889</v>
      </c>
      <c r="AG10" s="511">
        <f t="shared" si="15"/>
        <v>2470506.8600528128</v>
      </c>
      <c r="AH10" s="511">
        <f t="shared" si="4"/>
        <v>119507.69338614604</v>
      </c>
      <c r="AI10" s="669">
        <f t="shared" si="5"/>
        <v>5.0832724690238168E-2</v>
      </c>
      <c r="AJ10" s="670">
        <f>VLOOKUP(A10,'Fixed Costs'!$A$3:$R$15,14,(FALSE))</f>
        <v>0</v>
      </c>
      <c r="AK10" s="670">
        <f>VLOOKUP(A10,'Fixed Costs'!$A$3:$R$15,16,(FALSE))</f>
        <v>0</v>
      </c>
      <c r="AL10" s="670">
        <f t="shared" si="16"/>
        <v>2470506.8600528128</v>
      </c>
      <c r="AM10" s="670">
        <f t="shared" si="6"/>
        <v>102940.47829450882</v>
      </c>
      <c r="AN10" s="671">
        <f t="shared" si="7"/>
        <v>4.3479447540583305E-2</v>
      </c>
      <c r="AO10" s="671">
        <f t="shared" si="8"/>
        <v>4.3479447540583305E-2</v>
      </c>
      <c r="AP10" s="670">
        <f t="shared" si="9"/>
        <v>102940.47829450882</v>
      </c>
      <c r="AQ10" s="670">
        <f>VLOOKUP(A10,'2526 Band Calculations'!$1:$1048576,23,(FALSE))</f>
        <v>38468.788017453524</v>
      </c>
      <c r="AR10" s="544">
        <f t="shared" si="10"/>
        <v>2508975.6480702665</v>
      </c>
      <c r="AS10" s="544">
        <f t="shared" si="11"/>
        <v>157976.48140359967</v>
      </c>
      <c r="AT10" s="539">
        <f t="shared" si="0"/>
        <v>6.7195464653262524E-2</v>
      </c>
      <c r="AU10" s="539">
        <f t="shared" si="12"/>
        <v>5.8597732326631263E-2</v>
      </c>
      <c r="AV10" s="544">
        <f t="shared" si="13"/>
        <v>137763.21986846652</v>
      </c>
      <c r="AW10" s="544">
        <f t="shared" si="14"/>
        <v>20213.261535133148</v>
      </c>
      <c r="AX10" s="475" t="s">
        <v>344</v>
      </c>
    </row>
    <row r="11" spans="1:50" x14ac:dyDescent="0.25">
      <c r="A11" s="482">
        <v>9257009</v>
      </c>
      <c r="B11" s="480" t="str">
        <f>VLOOKUP(A11,'2627 Funding Detail'!$A$3:$B$19,2,(FALSE))</f>
        <v>Tulip Academy</v>
      </c>
      <c r="C11" s="518" t="s">
        <v>345</v>
      </c>
      <c r="D11" s="511">
        <v>718458</v>
      </c>
      <c r="E11" s="511">
        <v>173557</v>
      </c>
      <c r="F11" s="519"/>
      <c r="G11" s="516">
        <v>389126</v>
      </c>
      <c r="H11" s="512">
        <v>2701960.2340686275</v>
      </c>
      <c r="I11" s="511">
        <v>56036.7</v>
      </c>
      <c r="J11" s="511">
        <v>4039137.9340686277</v>
      </c>
      <c r="K11" s="512">
        <v>3650011.9340686277</v>
      </c>
      <c r="L11" s="674">
        <v>229.75000000000003</v>
      </c>
      <c r="M11" s="496">
        <v>351490.47058823524</v>
      </c>
      <c r="N11" s="513">
        <v>216.23529411764707</v>
      </c>
      <c r="O11" s="496">
        <v>10869.963541666666</v>
      </c>
      <c r="P11" s="514">
        <v>25360.054754919554</v>
      </c>
      <c r="Q11" s="514">
        <v>3675371.988823547</v>
      </c>
      <c r="R11" s="496">
        <v>2297500.0000000005</v>
      </c>
      <c r="S11" s="496">
        <v>0</v>
      </c>
      <c r="T11" s="506">
        <v>15997.266545477896</v>
      </c>
      <c r="U11" s="506">
        <v>2297500.0000000005</v>
      </c>
      <c r="V11" s="506">
        <v>5997.2665454778962</v>
      </c>
      <c r="W11" s="511">
        <v>1377871.9888235466</v>
      </c>
      <c r="X11" s="511">
        <v>3675371.988823547</v>
      </c>
      <c r="Y11" s="511">
        <f t="shared" si="1"/>
        <v>4008461.2888235468</v>
      </c>
      <c r="Z11" s="511">
        <f>L11*Summary!$B$13</f>
        <v>2297500.0000000005</v>
      </c>
      <c r="AA11" s="511">
        <f>VLOOKUP(A11,'2526 Band Calculations'!$1:$1048576,18,(FALSE))</f>
        <v>1742722.4267427791</v>
      </c>
      <c r="AB11" s="511">
        <f t="shared" si="2"/>
        <v>4040222.4267427796</v>
      </c>
      <c r="AC11" s="668">
        <f t="shared" si="3"/>
        <v>57121.192674151898</v>
      </c>
      <c r="AD11" s="668"/>
      <c r="AE11" s="668"/>
      <c r="AF11" s="511">
        <f>VLOOKUP(A11,'2526 Band Calculations'!$1:$1048576,21,(FALSE))</f>
        <v>1716612.0149780731</v>
      </c>
      <c r="AG11" s="511">
        <f t="shared" si="15"/>
        <v>4014112.0149780735</v>
      </c>
      <c r="AH11" s="673">
        <f>AG11-J11+I11</f>
        <v>31010.780909445879</v>
      </c>
      <c r="AI11" s="669">
        <f t="shared" si="5"/>
        <v>7.7855869301542268E-3</v>
      </c>
      <c r="AJ11" s="670">
        <f>VLOOKUP(A11,'Fixed Costs'!$A$3:$R$15,14,(FALSE))</f>
        <v>82700</v>
      </c>
      <c r="AK11" s="670">
        <f>VLOOKUP(A11,'Fixed Costs'!$A$3:$R$15,16,(FALSE))</f>
        <v>0</v>
      </c>
      <c r="AL11" s="670">
        <f t="shared" si="16"/>
        <v>4096812.0149780735</v>
      </c>
      <c r="AM11" s="670">
        <f t="shared" si="6"/>
        <v>88350.726154526317</v>
      </c>
      <c r="AN11" s="671">
        <f t="shared" si="7"/>
        <v>2.2041057600048968E-2</v>
      </c>
      <c r="AO11" s="671">
        <f t="shared" si="8"/>
        <v>2.2041057600048968E-2</v>
      </c>
      <c r="AP11" s="670">
        <f t="shared" si="9"/>
        <v>88350.726154526317</v>
      </c>
      <c r="AQ11" s="670">
        <f>VLOOKUP(A11,'2526 Band Calculations'!$1:$1048576,23,(FALSE))</f>
        <v>50254.706772300429</v>
      </c>
      <c r="AR11" s="544">
        <f t="shared" si="10"/>
        <v>4147066.721750374</v>
      </c>
      <c r="AS11" s="544">
        <f t="shared" si="11"/>
        <v>163965.48768174631</v>
      </c>
      <c r="AT11" s="539">
        <f t="shared" si="0"/>
        <v>4.1165282538967785E-2</v>
      </c>
      <c r="AU11" s="539">
        <f t="shared" si="12"/>
        <v>4.1165282538967785E-2</v>
      </c>
      <c r="AV11" s="544">
        <f t="shared" si="13"/>
        <v>163965.48768174631</v>
      </c>
      <c r="AW11" s="544">
        <f t="shared" si="14"/>
        <v>0</v>
      </c>
      <c r="AX11" s="475" t="s">
        <v>386</v>
      </c>
    </row>
    <row r="12" spans="1:50" x14ac:dyDescent="0.25">
      <c r="A12" s="482">
        <v>9257028</v>
      </c>
      <c r="B12" s="480" t="str">
        <f>VLOOKUP(A12,'2627 Funding Detail'!$A$3:$B$19,2,(FALSE))</f>
        <v>Willoughby Academy</v>
      </c>
      <c r="C12" s="510" t="s">
        <v>333</v>
      </c>
      <c r="D12" s="511">
        <v>614312</v>
      </c>
      <c r="E12" s="511">
        <v>161337</v>
      </c>
      <c r="F12" s="511"/>
      <c r="G12" s="511"/>
      <c r="H12" s="512">
        <v>2227915.666666667</v>
      </c>
      <c r="I12" s="511">
        <v>20331.899999999998</v>
      </c>
      <c r="J12" s="511">
        <v>3023896.5666666669</v>
      </c>
      <c r="K12" s="512">
        <v>3023896.5666666669</v>
      </c>
      <c r="L12" s="674">
        <v>147</v>
      </c>
      <c r="M12" s="496">
        <v>623036.08888888895</v>
      </c>
      <c r="N12" s="513">
        <v>123.04444444444445</v>
      </c>
      <c r="O12" s="496">
        <v>13043.088495575223</v>
      </c>
      <c r="P12" s="514">
        <v>0</v>
      </c>
      <c r="Q12" s="514">
        <v>3023896.5666666669</v>
      </c>
      <c r="R12" s="496">
        <v>1470000</v>
      </c>
      <c r="S12" s="496">
        <v>0</v>
      </c>
      <c r="T12" s="506">
        <v>20570.724943310659</v>
      </c>
      <c r="U12" s="506">
        <v>1470000</v>
      </c>
      <c r="V12" s="506">
        <v>10570.724943310659</v>
      </c>
      <c r="W12" s="511">
        <v>1553896.5666666669</v>
      </c>
      <c r="X12" s="511">
        <v>3023896.5666666669</v>
      </c>
      <c r="Y12" s="511">
        <f t="shared" si="1"/>
        <v>3003564.666666667</v>
      </c>
      <c r="Z12" s="511">
        <f>L12*Summary!$B$13</f>
        <v>1470000</v>
      </c>
      <c r="AA12" s="511">
        <f>VLOOKUP(A12,'2526 Band Calculations'!$1:$1048576,18,(FALSE))</f>
        <v>1738025.403399202</v>
      </c>
      <c r="AB12" s="511">
        <f t="shared" si="2"/>
        <v>3208025.403399202</v>
      </c>
      <c r="AC12" s="668">
        <f t="shared" si="3"/>
        <v>204460.73673253515</v>
      </c>
      <c r="AD12" s="668"/>
      <c r="AE12" s="668"/>
      <c r="AF12" s="511">
        <f>VLOOKUP(A12,'2526 Band Calculations'!$1:$1048576,21,(FALSE))</f>
        <v>1691743.2700658687</v>
      </c>
      <c r="AG12" s="511">
        <f t="shared" si="15"/>
        <v>3161743.2700658687</v>
      </c>
      <c r="AH12" s="511">
        <f t="shared" si="4"/>
        <v>158178.60339920185</v>
      </c>
      <c r="AI12" s="669">
        <f t="shared" si="5"/>
        <v>5.266362504348783E-2</v>
      </c>
      <c r="AJ12" s="670">
        <f>VLOOKUP(A12,'Fixed Costs'!$A$3:$R$15,14,(FALSE))</f>
        <v>0</v>
      </c>
      <c r="AK12" s="670">
        <f>VLOOKUP(A12,'Fixed Costs'!$A$3:$R$15,16,(FALSE))</f>
        <v>4962</v>
      </c>
      <c r="AL12" s="670">
        <f t="shared" si="16"/>
        <v>3166705.2700658687</v>
      </c>
      <c r="AM12" s="670">
        <f t="shared" si="6"/>
        <v>163140.60339920185</v>
      </c>
      <c r="AN12" s="671">
        <f t="shared" si="7"/>
        <v>5.4315662056397152E-2</v>
      </c>
      <c r="AO12" s="671">
        <f t="shared" si="8"/>
        <v>5.2157831028198577E-2</v>
      </c>
      <c r="AP12" s="670">
        <f t="shared" si="9"/>
        <v>156659.41836626761</v>
      </c>
      <c r="AQ12" s="670">
        <f>VLOOKUP(A12,'2526 Band Calculations'!$1:$1048576,23,(FALSE))</f>
        <v>21319.515792848229</v>
      </c>
      <c r="AR12" s="544">
        <f t="shared" si="10"/>
        <v>3188024.7858587168</v>
      </c>
      <c r="AS12" s="544">
        <f t="shared" si="11"/>
        <v>184460.11919204993</v>
      </c>
      <c r="AT12" s="539">
        <f t="shared" si="0"/>
        <v>6.1413733234770784E-2</v>
      </c>
      <c r="AU12" s="539">
        <f t="shared" si="12"/>
        <v>5.5706866617385394E-2</v>
      </c>
      <c r="AV12" s="544">
        <f t="shared" si="13"/>
        <v>167319.17626269165</v>
      </c>
      <c r="AW12" s="544">
        <f t="shared" si="14"/>
        <v>17140.94292935828</v>
      </c>
    </row>
    <row r="13" spans="1:50" x14ac:dyDescent="0.25">
      <c r="A13" s="482">
        <v>9257021</v>
      </c>
      <c r="B13" s="480" t="str">
        <f>VLOOKUP(A13,'2627 Funding Detail'!$A$3:$B$19,2,(FALSE))</f>
        <v>St Lawrence School</v>
      </c>
      <c r="C13" s="510" t="s">
        <v>343</v>
      </c>
      <c r="D13" s="511">
        <v>565224.5</v>
      </c>
      <c r="E13" s="511">
        <v>149645.5</v>
      </c>
      <c r="F13" s="511"/>
      <c r="G13" s="511"/>
      <c r="H13" s="512">
        <v>1808691.8823529417</v>
      </c>
      <c r="I13" s="511">
        <v>45126.9</v>
      </c>
      <c r="J13" s="511">
        <v>2568688.7823529416</v>
      </c>
      <c r="K13" s="512">
        <v>2568688.7823529416</v>
      </c>
      <c r="L13" s="674">
        <v>180</v>
      </c>
      <c r="M13" s="496">
        <v>82613.647058823524</v>
      </c>
      <c r="N13" s="513">
        <v>176.8235294117647</v>
      </c>
      <c r="O13" s="496">
        <v>9761.5868263473076</v>
      </c>
      <c r="P13" s="514">
        <v>0</v>
      </c>
      <c r="Q13" s="514">
        <v>2568688.7823529416</v>
      </c>
      <c r="R13" s="496">
        <v>1800000</v>
      </c>
      <c r="S13" s="496">
        <v>0</v>
      </c>
      <c r="T13" s="506">
        <v>14270.49323529412</v>
      </c>
      <c r="U13" s="506">
        <v>1800000</v>
      </c>
      <c r="V13" s="506">
        <v>4270.4932352941196</v>
      </c>
      <c r="W13" s="511">
        <v>768688.78235294158</v>
      </c>
      <c r="X13" s="511">
        <v>2568688.7823529416</v>
      </c>
      <c r="Y13" s="511">
        <f t="shared" si="1"/>
        <v>2523561.8823529417</v>
      </c>
      <c r="Z13" s="511">
        <f>L13*Summary!$B$13</f>
        <v>1800000</v>
      </c>
      <c r="AA13" s="511">
        <f>VLOOKUP(A13,'2526 Band Calculations'!$1:$1048576,18,(FALSE))</f>
        <v>994202.07447544124</v>
      </c>
      <c r="AB13" s="511">
        <f t="shared" si="2"/>
        <v>2794202.0744754411</v>
      </c>
      <c r="AC13" s="668">
        <f t="shared" si="3"/>
        <v>270640.19212249957</v>
      </c>
      <c r="AD13" s="668"/>
      <c r="AE13" s="668"/>
      <c r="AF13" s="511">
        <f>VLOOKUP(A13,'2526 Band Calculations'!$1:$1048576,21,(FALSE))</f>
        <v>988065.13329897064</v>
      </c>
      <c r="AG13" s="511">
        <f t="shared" si="15"/>
        <v>2788065.1332989708</v>
      </c>
      <c r="AH13" s="511">
        <f t="shared" si="4"/>
        <v>264503.25094602921</v>
      </c>
      <c r="AI13" s="669">
        <f t="shared" si="5"/>
        <v>0.10481345941848244</v>
      </c>
      <c r="AJ13" s="670">
        <f>VLOOKUP(A13,'Fixed Costs'!$A$3:$R$15,14,(FALSE))</f>
        <v>0</v>
      </c>
      <c r="AK13" s="670">
        <f>VLOOKUP(A13,'Fixed Costs'!$A$3:$R$15,16,(FALSE))</f>
        <v>0</v>
      </c>
      <c r="AL13" s="670">
        <f t="shared" si="16"/>
        <v>2788065.1332989708</v>
      </c>
      <c r="AM13" s="670">
        <f t="shared" si="6"/>
        <v>264503.25094602921</v>
      </c>
      <c r="AN13" s="671">
        <f t="shared" si="7"/>
        <v>0.10481345941848244</v>
      </c>
      <c r="AO13" s="671">
        <f t="shared" si="8"/>
        <v>7.7406729709241229E-2</v>
      </c>
      <c r="AP13" s="670">
        <f t="shared" si="9"/>
        <v>195340.67253183818</v>
      </c>
      <c r="AQ13" s="670">
        <f>VLOOKUP(A13,'2526 Band Calculations'!$1:$1048576,23,(FALSE))</f>
        <v>51103.984644293509</v>
      </c>
      <c r="AR13" s="544">
        <f t="shared" si="10"/>
        <v>2839169.1179432641</v>
      </c>
      <c r="AS13" s="544">
        <f t="shared" si="11"/>
        <v>315607.23559032253</v>
      </c>
      <c r="AT13" s="539">
        <f t="shared" si="0"/>
        <v>0.12506419509556618</v>
      </c>
      <c r="AU13" s="539">
        <f t="shared" si="12"/>
        <v>8.75320975477831E-2</v>
      </c>
      <c r="AV13" s="544">
        <f t="shared" si="13"/>
        <v>220892.66485398484</v>
      </c>
      <c r="AW13" s="544">
        <f t="shared" si="14"/>
        <v>94714.570736337686</v>
      </c>
      <c r="AX13" s="475" t="s">
        <v>334</v>
      </c>
    </row>
    <row r="14" spans="1:50" x14ac:dyDescent="0.25">
      <c r="A14" s="482">
        <v>9257015</v>
      </c>
      <c r="B14" s="480" t="str">
        <f>VLOOKUP(A14,'2627 Funding Detail'!$A$3:$B$19,2,(FALSE))</f>
        <v>St Christopher's Special School</v>
      </c>
      <c r="C14" s="518" t="s">
        <v>347</v>
      </c>
      <c r="D14" s="511">
        <v>906868</v>
      </c>
      <c r="E14" s="511">
        <v>199376.10852500008</v>
      </c>
      <c r="F14" s="511"/>
      <c r="G14" s="520">
        <v>439861.89147499995</v>
      </c>
      <c r="H14" s="512">
        <v>4674457.6332781464</v>
      </c>
      <c r="I14" s="511">
        <v>43143.299999999996</v>
      </c>
      <c r="J14" s="511">
        <v>6263706.9332781462</v>
      </c>
      <c r="K14" s="512">
        <v>5823845.0418031504</v>
      </c>
      <c r="L14" s="674">
        <v>325.91666666666669</v>
      </c>
      <c r="M14" s="496">
        <v>252609.15894039735</v>
      </c>
      <c r="N14" s="513">
        <v>316.20391832229581</v>
      </c>
      <c r="O14" s="496">
        <v>13984.167235494882</v>
      </c>
      <c r="P14" s="514">
        <v>0</v>
      </c>
      <c r="Q14" s="514">
        <v>5823845.0418031458</v>
      </c>
      <c r="R14" s="496">
        <v>3259166.666666667</v>
      </c>
      <c r="S14" s="496">
        <v>0</v>
      </c>
      <c r="T14" s="506">
        <v>17869.123114711772</v>
      </c>
      <c r="U14" s="506">
        <v>3259166.666666667</v>
      </c>
      <c r="V14" s="506">
        <v>7869.1231147117724</v>
      </c>
      <c r="W14" s="511">
        <v>2564678.3751364788</v>
      </c>
      <c r="X14" s="511">
        <v>5823845.0418031458</v>
      </c>
      <c r="Y14" s="511">
        <f>J14-I14+P14</f>
        <v>6220563.6332781464</v>
      </c>
      <c r="Z14" s="511">
        <f>L14*Summary!$B$13</f>
        <v>3259166.666666667</v>
      </c>
      <c r="AA14" s="511">
        <f>VLOOKUP(A14,'2526 Band Calculations'!$1:$1048576,18,(FALSE))</f>
        <v>3192134.9001867021</v>
      </c>
      <c r="AB14" s="511">
        <f t="shared" si="2"/>
        <v>6451301.5668533687</v>
      </c>
      <c r="AC14" s="668">
        <f t="shared" si="3"/>
        <v>230737.93357522244</v>
      </c>
      <c r="AD14" s="668"/>
      <c r="AE14" s="668"/>
      <c r="AF14" s="511">
        <f>VLOOKUP(A14,'2526 Band Calculations'!$1:$1048576,21,(FALSE))</f>
        <v>3173369.8703853777</v>
      </c>
      <c r="AG14" s="511">
        <f t="shared" si="15"/>
        <v>6432536.5370520446</v>
      </c>
      <c r="AH14" s="511">
        <f t="shared" si="4"/>
        <v>211972.90377389843</v>
      </c>
      <c r="AI14" s="669">
        <f t="shared" si="5"/>
        <v>3.4076157125040418E-2</v>
      </c>
      <c r="AJ14" s="670">
        <f>VLOOKUP(A14,'Fixed Costs'!$A$3:$R$15,14,(FALSE))</f>
        <v>82700</v>
      </c>
      <c r="AK14" s="670">
        <f>VLOOKUP(A14,'Fixed Costs'!$A$3:$R$15,16,(FALSE))</f>
        <v>0</v>
      </c>
      <c r="AL14" s="670">
        <f t="shared" si="16"/>
        <v>6515236.5370520446</v>
      </c>
      <c r="AM14" s="670">
        <f t="shared" si="6"/>
        <v>294672.90377389843</v>
      </c>
      <c r="AN14" s="671">
        <f t="shared" si="7"/>
        <v>4.7370772352120463E-2</v>
      </c>
      <c r="AO14" s="671">
        <f t="shared" si="8"/>
        <v>4.7370772352120463E-2</v>
      </c>
      <c r="AP14" s="670">
        <f t="shared" si="9"/>
        <v>294672.90377389843</v>
      </c>
      <c r="AQ14" s="670">
        <f>VLOOKUP(A14,'2526 Band Calculations'!$1:$1048576,23,(FALSE))</f>
        <v>43242.18336815427</v>
      </c>
      <c r="AR14" s="544">
        <f t="shared" si="10"/>
        <v>6558478.7204201985</v>
      </c>
      <c r="AS14" s="544">
        <f t="shared" si="11"/>
        <v>337915.0871420523</v>
      </c>
      <c r="AT14" s="539">
        <f t="shared" si="0"/>
        <v>5.4322261946539399E-2</v>
      </c>
      <c r="AU14" s="539">
        <f t="shared" si="12"/>
        <v>5.2161130973269701E-2</v>
      </c>
      <c r="AV14" s="544">
        <f t="shared" si="13"/>
        <v>324471.63440297981</v>
      </c>
      <c r="AW14" s="544">
        <f t="shared" si="14"/>
        <v>13443.452739072498</v>
      </c>
      <c r="AX14" s="475" t="s">
        <v>348</v>
      </c>
    </row>
    <row r="15" spans="1:50" x14ac:dyDescent="0.25">
      <c r="A15" s="482">
        <v>9257016</v>
      </c>
      <c r="B15" s="480" t="str">
        <f>VLOOKUP(A15,'2627 Funding Detail'!$A$3:$B$19,2,(FALSE))</f>
        <v>St Francis Special Needs School</v>
      </c>
      <c r="C15" s="518" t="s">
        <v>349</v>
      </c>
      <c r="D15" s="511">
        <v>811683</v>
      </c>
      <c r="E15" s="511">
        <v>185974</v>
      </c>
      <c r="F15" s="511"/>
      <c r="G15" s="511"/>
      <c r="H15" s="512">
        <v>3446599.1085271318</v>
      </c>
      <c r="I15" s="511">
        <v>32233.5</v>
      </c>
      <c r="J15" s="511">
        <v>4476489.6085271314</v>
      </c>
      <c r="K15" s="512">
        <v>4476489.6085271314</v>
      </c>
      <c r="L15" s="674">
        <v>171.33333333333334</v>
      </c>
      <c r="M15" s="496">
        <v>1968946.7286821709</v>
      </c>
      <c r="N15" s="513">
        <v>95.627906976744185</v>
      </c>
      <c r="O15" s="496">
        <v>15452.104166666664</v>
      </c>
      <c r="P15" s="514">
        <v>0</v>
      </c>
      <c r="Q15" s="514">
        <v>4476489.6085271314</v>
      </c>
      <c r="R15" s="496">
        <v>1713333.3333333335</v>
      </c>
      <c r="S15" s="496">
        <v>0</v>
      </c>
      <c r="T15" s="506">
        <v>26127.371255994927</v>
      </c>
      <c r="U15" s="506">
        <v>1713333.3333333335</v>
      </c>
      <c r="V15" s="506">
        <v>16127.371255994927</v>
      </c>
      <c r="W15" s="511">
        <v>2763156.2751937979</v>
      </c>
      <c r="X15" s="511">
        <v>4476489.6085271314</v>
      </c>
      <c r="Y15" s="511">
        <f t="shared" si="1"/>
        <v>4444256.1085271314</v>
      </c>
      <c r="Z15" s="511">
        <f>L15*Summary!$B$13</f>
        <v>1713333.3333333335</v>
      </c>
      <c r="AA15" s="511">
        <f>VLOOKUP(A15,'2526 Band Calculations'!$1:$1048576,18,(FALSE))</f>
        <v>3319531.445045202</v>
      </c>
      <c r="AB15" s="511">
        <f t="shared" si="2"/>
        <v>5032864.7783785351</v>
      </c>
      <c r="AC15" s="668">
        <f t="shared" si="3"/>
        <v>588608.66985140368</v>
      </c>
      <c r="AD15" s="668"/>
      <c r="AE15" s="668"/>
      <c r="AF15" s="511">
        <f>VLOOKUP(A15,'2526 Band Calculations'!$1:$1048576,21,(FALSE))</f>
        <v>3173268.5613242714</v>
      </c>
      <c r="AG15" s="511">
        <f t="shared" si="15"/>
        <v>4886601.8946576044</v>
      </c>
      <c r="AH15" s="511">
        <f t="shared" si="4"/>
        <v>442345.78613047302</v>
      </c>
      <c r="AI15" s="669">
        <f t="shared" si="5"/>
        <v>9.9532019606554722E-2</v>
      </c>
      <c r="AJ15" s="670">
        <f>VLOOKUP(A15,'Fixed Costs'!$A$3:$R$15,14,(FALSE))</f>
        <v>0</v>
      </c>
      <c r="AK15" s="670">
        <f>VLOOKUP(A15,'Fixed Costs'!$A$3:$R$15,16,(FALSE))</f>
        <v>0</v>
      </c>
      <c r="AL15" s="670">
        <f t="shared" si="16"/>
        <v>4886601.8946576044</v>
      </c>
      <c r="AM15" s="670">
        <f t="shared" si="6"/>
        <v>442345.78613047302</v>
      </c>
      <c r="AN15" s="671">
        <f t="shared" si="7"/>
        <v>9.9532019606554722E-2</v>
      </c>
      <c r="AO15" s="671">
        <f t="shared" si="8"/>
        <v>7.4766009803277356E-2</v>
      </c>
      <c r="AP15" s="670">
        <f t="shared" si="9"/>
        <v>332279.29577841476</v>
      </c>
      <c r="AQ15" s="670">
        <f>VLOOKUP(A15,'2526 Band Calculations'!$1:$1048576,23,(FALSE))</f>
        <v>5442.7699505367445</v>
      </c>
      <c r="AR15" s="544">
        <f t="shared" si="10"/>
        <v>4892044.6646081414</v>
      </c>
      <c r="AS15" s="544">
        <f t="shared" si="11"/>
        <v>447788.55608101003</v>
      </c>
      <c r="AT15" s="539">
        <f t="shared" si="0"/>
        <v>0.10075669474174642</v>
      </c>
      <c r="AU15" s="539">
        <f t="shared" si="12"/>
        <v>7.5378347370873205E-2</v>
      </c>
      <c r="AV15" s="544">
        <f t="shared" si="13"/>
        <v>335000.68075368326</v>
      </c>
      <c r="AW15" s="544">
        <f t="shared" si="14"/>
        <v>112787.87532732676</v>
      </c>
      <c r="AX15" s="475" t="s">
        <v>359</v>
      </c>
    </row>
    <row r="16" spans="1:50" x14ac:dyDescent="0.25">
      <c r="A16" s="490"/>
      <c r="C16" s="476"/>
      <c r="D16" s="496"/>
      <c r="E16" s="496"/>
      <c r="F16" s="496"/>
      <c r="G16" s="496"/>
      <c r="H16" s="496"/>
      <c r="I16" s="496"/>
      <c r="J16" s="476"/>
      <c r="K16" s="475"/>
      <c r="L16" s="476"/>
      <c r="M16" s="475"/>
      <c r="T16" s="496"/>
      <c r="U16" s="476"/>
      <c r="W16" s="475"/>
      <c r="Y16" s="475"/>
    </row>
    <row r="17" spans="1:49" ht="13.5" customHeight="1" x14ac:dyDescent="0.25">
      <c r="A17" s="490"/>
      <c r="D17" s="475"/>
      <c r="E17" s="475"/>
      <c r="F17" s="475"/>
      <c r="G17" s="475"/>
      <c r="K17" s="525">
        <f>J14-I14</f>
        <v>6220563.6332781464</v>
      </c>
      <c r="M17" s="475"/>
      <c r="U17" s="475"/>
      <c r="V17" s="475"/>
      <c r="W17" s="475"/>
      <c r="Y17" s="475"/>
      <c r="AB17" s="496">
        <f>SUM(AB4:AB15)</f>
        <v>39353976.146685585</v>
      </c>
      <c r="AC17" s="515">
        <f>SUM(AC4:AC15)</f>
        <v>1810368.6259571922</v>
      </c>
      <c r="AD17" s="515"/>
      <c r="AE17" s="515"/>
      <c r="AG17" s="496">
        <f>SUM(AG4:AG15)</f>
        <v>39007794.256483838</v>
      </c>
      <c r="AH17" s="515">
        <f>SUM(AH4:AH15)</f>
        <v>1464186.7357554524</v>
      </c>
      <c r="AM17" s="515">
        <f>SUM(AM4:AM15)</f>
        <v>1927564.2585027462</v>
      </c>
      <c r="AP17" s="496">
        <f>SUM(AP4:AP15)</f>
        <v>1735023.4475677582</v>
      </c>
      <c r="AQ17" s="496">
        <f>SUM(AQ4:AQ15)</f>
        <v>406513.11236248323</v>
      </c>
      <c r="AS17" s="496">
        <f>SUM(AS4:AS15)</f>
        <v>2384680.3481179355</v>
      </c>
      <c r="AV17" s="496">
        <f>SUM(AV4:AV15)</f>
        <v>2065786.8579320193</v>
      </c>
      <c r="AW17" s="496">
        <f>SUM(AW4:AW15)</f>
        <v>318893.49018591619</v>
      </c>
    </row>
    <row r="18" spans="1:49" ht="13.5" customHeight="1" x14ac:dyDescent="0.25">
      <c r="A18" s="490"/>
      <c r="D18" s="475"/>
      <c r="E18" s="475"/>
      <c r="F18" s="475"/>
      <c r="G18" s="475"/>
      <c r="K18" s="475"/>
      <c r="M18" s="475"/>
      <c r="U18" s="475"/>
      <c r="V18" s="475"/>
      <c r="W18" s="475"/>
      <c r="Y18" s="525"/>
      <c r="AC18" s="515"/>
      <c r="AD18" s="515"/>
      <c r="AE18" s="515"/>
      <c r="AM18" s="525"/>
    </row>
    <row r="19" spans="1:49" ht="13.5" customHeight="1" x14ac:dyDescent="0.25">
      <c r="A19" s="490"/>
      <c r="D19" s="475"/>
      <c r="E19" s="475"/>
      <c r="F19" s="475"/>
      <c r="G19" s="475"/>
      <c r="K19" s="475"/>
      <c r="M19" s="475"/>
      <c r="U19" s="475"/>
      <c r="V19" s="475"/>
      <c r="W19" s="475"/>
      <c r="Y19" s="475"/>
      <c r="AC19" s="515"/>
      <c r="AD19" s="515"/>
      <c r="AE19" s="515"/>
      <c r="AJ19" s="475" t="s">
        <v>389</v>
      </c>
      <c r="AP19" s="760"/>
    </row>
    <row r="20" spans="1:49" ht="13.5" customHeight="1" x14ac:dyDescent="0.25">
      <c r="A20" s="490"/>
      <c r="D20" s="475"/>
      <c r="E20" s="475"/>
      <c r="F20" s="475"/>
      <c r="G20" s="475"/>
      <c r="K20" s="475"/>
      <c r="M20" s="475"/>
      <c r="U20" s="475"/>
      <c r="V20" s="475"/>
      <c r="W20" s="475"/>
      <c r="Y20" s="475"/>
      <c r="AC20" s="515"/>
      <c r="AD20" s="515"/>
      <c r="AE20" s="515"/>
      <c r="AJ20" s="475" t="s">
        <v>390</v>
      </c>
    </row>
    <row r="21" spans="1:49" ht="13.5" customHeight="1" x14ac:dyDescent="0.25">
      <c r="A21" s="490"/>
      <c r="D21" s="475"/>
      <c r="E21" s="475"/>
      <c r="F21" s="475"/>
      <c r="G21" s="475"/>
      <c r="K21" s="475"/>
      <c r="M21" s="475"/>
      <c r="U21" s="475"/>
      <c r="V21" s="475"/>
      <c r="W21" s="475"/>
      <c r="Y21" s="475"/>
      <c r="AC21" s="515"/>
      <c r="AD21" s="515"/>
      <c r="AE21" s="515"/>
    </row>
    <row r="22" spans="1:49" ht="13.5" customHeight="1" x14ac:dyDescent="0.25">
      <c r="A22" s="490"/>
      <c r="D22" s="475"/>
      <c r="E22" s="475"/>
      <c r="F22" s="475"/>
      <c r="G22" s="475"/>
      <c r="K22" s="475"/>
      <c r="M22" s="475"/>
      <c r="U22" s="475"/>
      <c r="V22" s="475"/>
      <c r="W22" s="475"/>
      <c r="Y22" s="475"/>
      <c r="Z22" s="474" t="s">
        <v>350</v>
      </c>
      <c r="AC22" s="515"/>
      <c r="AD22" s="515"/>
      <c r="AE22" s="515"/>
      <c r="AM22" s="515"/>
    </row>
    <row r="23" spans="1:49" ht="13.5" customHeight="1" x14ac:dyDescent="0.25">
      <c r="A23" s="490"/>
      <c r="D23" s="475"/>
      <c r="E23" s="475"/>
      <c r="F23" s="475"/>
      <c r="G23" s="475"/>
      <c r="K23" s="475"/>
      <c r="M23" s="475"/>
      <c r="U23" s="475"/>
      <c r="V23" s="475"/>
      <c r="W23" s="475"/>
      <c r="Y23" s="475"/>
      <c r="Z23" s="475" t="s">
        <v>351</v>
      </c>
      <c r="AC23" s="515"/>
      <c r="AD23" s="515"/>
      <c r="AE23" s="515"/>
      <c r="AM23" s="476"/>
    </row>
    <row r="24" spans="1:49" ht="13.5" customHeight="1" x14ac:dyDescent="0.25">
      <c r="A24" s="490"/>
      <c r="D24" s="475"/>
      <c r="E24" s="475"/>
      <c r="F24" s="475"/>
      <c r="G24" s="475"/>
      <c r="K24" s="475"/>
      <c r="M24" s="475"/>
      <c r="U24" s="475"/>
      <c r="V24" s="475"/>
      <c r="W24" s="475"/>
      <c r="Y24" s="475"/>
      <c r="Z24" s="475" t="s">
        <v>352</v>
      </c>
      <c r="AC24" s="515"/>
      <c r="AD24" s="515"/>
      <c r="AE24" s="515"/>
      <c r="AM24" s="515">
        <f>AM17-AM22</f>
        <v>1927564.2585027462</v>
      </c>
    </row>
    <row r="25" spans="1:49" ht="13.5" customHeight="1" x14ac:dyDescent="0.25">
      <c r="A25" s="490"/>
      <c r="D25" s="475"/>
      <c r="E25" s="475"/>
      <c r="F25" s="475"/>
      <c r="G25" s="475"/>
      <c r="K25" s="475"/>
      <c r="M25" s="475"/>
      <c r="U25" s="475"/>
      <c r="V25" s="475"/>
      <c r="W25" s="475"/>
      <c r="Y25" s="475"/>
      <c r="Z25" s="475" t="s">
        <v>353</v>
      </c>
      <c r="AC25" s="515"/>
      <c r="AD25" s="515"/>
      <c r="AE25" s="515"/>
    </row>
    <row r="26" spans="1:49" ht="13.5" customHeight="1" x14ac:dyDescent="0.25">
      <c r="A26" s="490"/>
      <c r="D26" s="475"/>
      <c r="E26" s="475"/>
      <c r="F26" s="475"/>
      <c r="G26" s="475"/>
      <c r="K26" s="475"/>
      <c r="M26" s="475"/>
      <c r="U26" s="475"/>
      <c r="V26" s="475"/>
      <c r="W26" s="475"/>
      <c r="Y26" s="475"/>
      <c r="Z26" s="475" t="s">
        <v>354</v>
      </c>
      <c r="AC26" s="515"/>
      <c r="AD26" s="515"/>
      <c r="AE26" s="515"/>
    </row>
    <row r="27" spans="1:49" ht="13" x14ac:dyDescent="0.3">
      <c r="A27" s="490"/>
      <c r="C27" s="521"/>
      <c r="D27" s="522"/>
      <c r="E27" s="522"/>
      <c r="F27" s="522"/>
      <c r="G27" s="522"/>
      <c r="H27" s="522"/>
      <c r="I27" s="522"/>
      <c r="J27" s="522"/>
      <c r="K27" s="523"/>
      <c r="L27" s="523"/>
      <c r="M27" s="522"/>
      <c r="N27" s="524"/>
      <c r="O27" s="522"/>
      <c r="P27" s="522"/>
      <c r="Q27" s="522"/>
      <c r="R27" s="525"/>
      <c r="T27" s="496"/>
      <c r="V27" s="490"/>
      <c r="W27" s="475"/>
      <c r="Y27" s="475"/>
      <c r="Z27" s="475" t="s">
        <v>355</v>
      </c>
    </row>
    <row r="30" spans="1:49" x14ac:dyDescent="0.25">
      <c r="AJ30" s="925" t="s">
        <v>764</v>
      </c>
      <c r="AK30" s="925"/>
      <c r="AL30" s="925"/>
      <c r="AP30" s="925" t="s">
        <v>413</v>
      </c>
      <c r="AQ30" s="925"/>
      <c r="AR30" s="925"/>
    </row>
    <row r="31" spans="1:49" x14ac:dyDescent="0.25">
      <c r="AJ31" s="491">
        <v>0.05</v>
      </c>
      <c r="AK31" s="491">
        <v>0.5</v>
      </c>
      <c r="AP31" s="491">
        <v>0.05</v>
      </c>
      <c r="AQ31" s="491">
        <v>0.5</v>
      </c>
    </row>
    <row r="32" spans="1:49" ht="50" x14ac:dyDescent="0.25">
      <c r="A32" s="498" t="s">
        <v>278</v>
      </c>
      <c r="B32" s="480" t="s">
        <v>279</v>
      </c>
      <c r="C32" s="499" t="s">
        <v>311</v>
      </c>
      <c r="D32" s="500" t="s">
        <v>312</v>
      </c>
      <c r="E32" s="500" t="s">
        <v>313</v>
      </c>
      <c r="F32" s="501" t="s">
        <v>314</v>
      </c>
      <c r="G32" s="501" t="s">
        <v>315</v>
      </c>
      <c r="H32" s="499" t="s">
        <v>316</v>
      </c>
      <c r="I32" s="499" t="s">
        <v>317</v>
      </c>
      <c r="J32" s="501" t="s">
        <v>318</v>
      </c>
      <c r="K32" s="499" t="s">
        <v>319</v>
      </c>
      <c r="L32" s="499" t="s">
        <v>320</v>
      </c>
      <c r="M32" s="502" t="s">
        <v>260</v>
      </c>
      <c r="N32" s="503" t="s">
        <v>321</v>
      </c>
      <c r="O32" s="504" t="s">
        <v>322</v>
      </c>
      <c r="P32" s="505" t="s">
        <v>323</v>
      </c>
      <c r="Q32" s="505" t="s">
        <v>324</v>
      </c>
      <c r="R32" s="505" t="s">
        <v>325</v>
      </c>
      <c r="S32" s="505" t="s">
        <v>326</v>
      </c>
      <c r="T32" s="499" t="s">
        <v>327</v>
      </c>
      <c r="U32" s="506" t="s">
        <v>328</v>
      </c>
      <c r="V32" s="507" t="s">
        <v>240</v>
      </c>
      <c r="W32" s="507" t="s">
        <v>329</v>
      </c>
      <c r="X32" s="506" t="s">
        <v>330</v>
      </c>
      <c r="Y32" s="499" t="s">
        <v>788</v>
      </c>
      <c r="Z32" s="665" t="s">
        <v>233</v>
      </c>
      <c r="AA32" s="665" t="s">
        <v>240</v>
      </c>
      <c r="AB32" s="666" t="s">
        <v>318</v>
      </c>
      <c r="AC32" s="667" t="s">
        <v>331</v>
      </c>
      <c r="AD32" s="667"/>
      <c r="AE32" s="667"/>
      <c r="AF32" s="665" t="s">
        <v>240</v>
      </c>
      <c r="AG32" s="666" t="s">
        <v>318</v>
      </c>
      <c r="AH32" s="676" t="s">
        <v>769</v>
      </c>
      <c r="AI32" s="676" t="s">
        <v>369</v>
      </c>
      <c r="AJ32" s="676" t="s">
        <v>791</v>
      </c>
      <c r="AK32" s="676" t="s">
        <v>794</v>
      </c>
      <c r="AL32" s="676" t="s">
        <v>792</v>
      </c>
      <c r="AM32" s="667" t="s">
        <v>413</v>
      </c>
      <c r="AN32" s="667" t="s">
        <v>770</v>
      </c>
      <c r="AO32" s="677" t="s">
        <v>369</v>
      </c>
      <c r="AP32" s="677" t="s">
        <v>791</v>
      </c>
      <c r="AQ32" s="677" t="s">
        <v>794</v>
      </c>
      <c r="AR32" s="677" t="s">
        <v>792</v>
      </c>
    </row>
    <row r="33" spans="1:45" x14ac:dyDescent="0.25">
      <c r="A33" s="482">
        <v>9257031</v>
      </c>
      <c r="B33" s="480" t="str">
        <f>VLOOKUP(A33,'2627 Funding Detail'!$A$3:$B$19,2,(FALSE))</f>
        <v>Fortuna School</v>
      </c>
      <c r="C33" s="510" t="s">
        <v>337</v>
      </c>
      <c r="D33" s="511">
        <v>434185</v>
      </c>
      <c r="E33" s="511">
        <v>102930</v>
      </c>
      <c r="F33" s="527">
        <v>235145</v>
      </c>
      <c r="G33" s="511"/>
      <c r="H33" s="512">
        <v>1292153.75</v>
      </c>
      <c r="I33" s="511">
        <v>23803.199999999997</v>
      </c>
      <c r="J33" s="511">
        <v>2088216.95</v>
      </c>
      <c r="K33" s="512">
        <v>1853071.95</v>
      </c>
      <c r="L33" s="675">
        <v>80.583333333333343</v>
      </c>
      <c r="M33" s="496">
        <v>0</v>
      </c>
      <c r="N33" s="513">
        <v>80.583333333333343</v>
      </c>
      <c r="O33" s="496">
        <v>16034.999999999998</v>
      </c>
      <c r="P33" s="514">
        <v>0</v>
      </c>
      <c r="Q33" s="514">
        <v>1853071.95</v>
      </c>
      <c r="R33" s="496">
        <v>805833.33333333337</v>
      </c>
      <c r="S33" s="496">
        <v>0</v>
      </c>
      <c r="T33" s="506">
        <v>22995.722233712509</v>
      </c>
      <c r="U33" s="506">
        <v>805833.33333333337</v>
      </c>
      <c r="V33" s="506">
        <v>12995.722233712509</v>
      </c>
      <c r="W33" s="511">
        <v>1047238.6166666666</v>
      </c>
      <c r="X33" s="511">
        <v>1853071.95</v>
      </c>
      <c r="Y33" s="511">
        <f>D33+E33+G33+H33</f>
        <v>1829268.75</v>
      </c>
      <c r="Z33" s="511">
        <f>L33*Summary!$B$36</f>
        <v>805833.33333333337</v>
      </c>
      <c r="AA33" s="511">
        <f>VLOOKUP(A33,'2526 Band Calculations'!$1:$1048576,18,(FALSE))</f>
        <v>1161187.1980312993</v>
      </c>
      <c r="AB33" s="511">
        <f>SUM(Z33:AA33)</f>
        <v>1967020.5313646328</v>
      </c>
      <c r="AC33" s="812">
        <f>AB33-Y33</f>
        <v>137751.78136463277</v>
      </c>
      <c r="AD33" s="511"/>
      <c r="AE33" s="511"/>
      <c r="AF33" s="512">
        <f>VLOOKUP(A33,'2526 Band Calculations'!$1:$1048576,21,(FALSE))</f>
        <v>1161187.1980312993</v>
      </c>
      <c r="AG33" s="511">
        <f>Z33+AF33</f>
        <v>1967020.5313646328</v>
      </c>
      <c r="AH33" s="511">
        <f>AG33-K33+I33</f>
        <v>137751.78136463283</v>
      </c>
      <c r="AI33" s="669">
        <f>AH33/(K33-I33)</f>
        <v>7.5304288319927193E-2</v>
      </c>
      <c r="AJ33" s="671">
        <f>IF(AI33&gt;$AU$2,(($AU$2)+((AI33-$AU$2)*$AV$2)),(AI33))</f>
        <v>6.2652144159963591E-2</v>
      </c>
      <c r="AK33" s="670">
        <f>AH33/AI33*AJ33</f>
        <v>114607.60943231641</v>
      </c>
      <c r="AL33" s="670">
        <f>AH33-AK33</f>
        <v>23144.171932316414</v>
      </c>
      <c r="AM33" s="511">
        <f>'2627 Band Values'!$I$18*'2526 Funding Comparisons'!L33</f>
        <v>41884.316240383094</v>
      </c>
      <c r="AN33" s="511">
        <f>AH33+AM33</f>
        <v>179636.09760501591</v>
      </c>
      <c r="AO33" s="669">
        <f>AN33/(K33-I33)</f>
        <v>9.820104214048149E-2</v>
      </c>
      <c r="AP33" s="671">
        <f>IF(AO33&gt;$AU$2,(($AU$2)+((AO33-$AU$2)*$AV$2)),(AO33))</f>
        <v>7.4100521070240746E-2</v>
      </c>
      <c r="AQ33" s="670">
        <f>AN33/AO33*AP33</f>
        <v>135549.76755250795</v>
      </c>
      <c r="AR33" s="511">
        <f>AN33-AQ33</f>
        <v>44086.330052507954</v>
      </c>
    </row>
    <row r="34" spans="1:45" x14ac:dyDescent="0.25">
      <c r="A34" s="482">
        <v>9257029</v>
      </c>
      <c r="B34" s="480" t="str">
        <f>VLOOKUP(A34,'2627 Funding Detail'!$A$3:$B$19,2,(FALSE))</f>
        <v>Greenfields Academy</v>
      </c>
      <c r="C34" s="510" t="s">
        <v>337</v>
      </c>
      <c r="D34" s="511">
        <v>434185</v>
      </c>
      <c r="E34" s="511">
        <v>102930</v>
      </c>
      <c r="F34" s="527">
        <v>246171</v>
      </c>
      <c r="G34" s="511"/>
      <c r="H34" s="512">
        <v>1314870</v>
      </c>
      <c r="I34" s="511">
        <v>23307.3</v>
      </c>
      <c r="J34" s="511">
        <v>2121463.2999999998</v>
      </c>
      <c r="K34" s="512">
        <v>1875292.2999999998</v>
      </c>
      <c r="L34" s="675">
        <v>82</v>
      </c>
      <c r="M34" s="496">
        <v>0</v>
      </c>
      <c r="N34" s="513">
        <v>82</v>
      </c>
      <c r="O34" s="496">
        <v>16035</v>
      </c>
      <c r="P34" s="514">
        <v>0</v>
      </c>
      <c r="Q34" s="514">
        <v>1875292.2999999998</v>
      </c>
      <c r="R34" s="496">
        <v>820000</v>
      </c>
      <c r="S34" s="496">
        <v>0</v>
      </c>
      <c r="T34" s="506">
        <v>22869.418292682923</v>
      </c>
      <c r="U34" s="506">
        <v>820000</v>
      </c>
      <c r="V34" s="506">
        <v>12869.418292682923</v>
      </c>
      <c r="W34" s="511">
        <v>1055292.2999999998</v>
      </c>
      <c r="X34" s="511">
        <v>1875292.2999999998</v>
      </c>
      <c r="Y34" s="511">
        <f>D34+E34+G34+H34</f>
        <v>1851985</v>
      </c>
      <c r="Z34" s="511">
        <f>L34*Summary!$B$36</f>
        <v>820000</v>
      </c>
      <c r="AA34" s="511">
        <f>VLOOKUP(A34,'2526 Band Calculations'!$1:$1048576,18,(FALSE))</f>
        <v>1181601.0370866582</v>
      </c>
      <c r="AB34" s="511">
        <f t="shared" ref="AB34:AB36" si="17">SUM(Z34:AA34)</f>
        <v>2001601.0370866582</v>
      </c>
      <c r="AC34" s="812">
        <f t="shared" ref="AC34:AC36" si="18">AB34-Y34</f>
        <v>149616.03708665818</v>
      </c>
      <c r="AD34" s="511"/>
      <c r="AE34" s="511"/>
      <c r="AF34" s="512">
        <f>VLOOKUP(A34,'2526 Band Calculations'!$1:$1048576,21,(FALSE))</f>
        <v>1181601.0370866582</v>
      </c>
      <c r="AG34" s="511">
        <f t="shared" ref="AG34:AG36" si="19">Z34+AF34</f>
        <v>2001601.0370866582</v>
      </c>
      <c r="AH34" s="511">
        <f>AG34-K34+I34</f>
        <v>149616.03708665835</v>
      </c>
      <c r="AI34" s="669">
        <f>AH34/(K34-I34)</f>
        <v>8.0786851452176109E-2</v>
      </c>
      <c r="AJ34" s="671">
        <f>IF(AI34&gt;$AU$2,(($AU$2)+((AI34-$AU$2)*$AV$2)),(AI34))</f>
        <v>6.5393425726088056E-2</v>
      </c>
      <c r="AK34" s="670">
        <f>AH34/AI34*AJ34</f>
        <v>121107.64354332918</v>
      </c>
      <c r="AL34" s="670">
        <f>AH34-AK34</f>
        <v>28508.393543329177</v>
      </c>
      <c r="AM34" s="511">
        <f>'2627 Band Values'!$I$18*'2526 Funding Comparisons'!L34</f>
        <v>42620.648583802438</v>
      </c>
      <c r="AN34" s="511">
        <f>AH34+AM34</f>
        <v>192236.68567046081</v>
      </c>
      <c r="AO34" s="669">
        <f t="shared" ref="AO34:AO36" si="20">AN34/(K34-I34)</f>
        <v>0.10380034701709832</v>
      </c>
      <c r="AP34" s="671">
        <f t="shared" ref="AP34:AP36" si="21">IF(AO34&gt;$AU$2,(($AU$2)+((AO34-$AU$2)*$AV$2)),(AO34))</f>
        <v>7.6900173508549163E-2</v>
      </c>
      <c r="AQ34" s="670">
        <f t="shared" ref="AQ34:AQ36" si="22">AN34/AO34*AP34</f>
        <v>142417.9678352304</v>
      </c>
      <c r="AR34" s="511">
        <f t="shared" ref="AR34:AR36" si="23">AN34-AQ34</f>
        <v>49818.717835230404</v>
      </c>
    </row>
    <row r="35" spans="1:45" x14ac:dyDescent="0.25">
      <c r="A35" s="482">
        <v>9257032</v>
      </c>
      <c r="B35" s="480" t="str">
        <f>VLOOKUP(A35,'2627 Funding Detail'!$A$3:$B$19,2,(FALSE))</f>
        <v>Athena School</v>
      </c>
      <c r="C35" s="510" t="s">
        <v>339</v>
      </c>
      <c r="D35" s="511">
        <v>399637</v>
      </c>
      <c r="E35" s="511">
        <v>102930</v>
      </c>
      <c r="F35" s="527">
        <v>246171</v>
      </c>
      <c r="G35" s="516">
        <v>192636</v>
      </c>
      <c r="H35" s="512">
        <v>1862732.5</v>
      </c>
      <c r="I35" s="511">
        <v>31241.699999999997</v>
      </c>
      <c r="J35" s="511">
        <v>2835348.2</v>
      </c>
      <c r="K35" s="512">
        <v>2396541.2000000002</v>
      </c>
      <c r="L35" s="675">
        <v>116.16666666666667</v>
      </c>
      <c r="M35" s="496">
        <v>0</v>
      </c>
      <c r="N35" s="513">
        <v>116.16666666666667</v>
      </c>
      <c r="O35" s="496">
        <v>16035</v>
      </c>
      <c r="P35" s="514">
        <v>0</v>
      </c>
      <c r="Q35" s="514">
        <v>2396541.2000000002</v>
      </c>
      <c r="R35" s="496">
        <v>1161666.6666666667</v>
      </c>
      <c r="S35" s="496">
        <v>0</v>
      </c>
      <c r="T35" s="506">
        <v>20630.196843615497</v>
      </c>
      <c r="U35" s="506">
        <v>1161666.6666666667</v>
      </c>
      <c r="V35" s="506">
        <v>10630.196843615497</v>
      </c>
      <c r="W35" s="511">
        <v>1234874.5333333334</v>
      </c>
      <c r="X35" s="511">
        <v>2396541.2000000002</v>
      </c>
      <c r="Y35" s="511">
        <f>D35+E35+G35+H35</f>
        <v>2557935.5</v>
      </c>
      <c r="Z35" s="511">
        <f>L35*Summary!$B$36</f>
        <v>1161666.6666666667</v>
      </c>
      <c r="AA35" s="511">
        <f>VLOOKUP(A35,'2526 Band Calculations'!$1:$1048576,18,(FALSE))</f>
        <v>1673934.8025394324</v>
      </c>
      <c r="AB35" s="511">
        <f t="shared" si="17"/>
        <v>2835601.4692060994</v>
      </c>
      <c r="AC35" s="812">
        <f>AB35-Y35</f>
        <v>277665.9692060994</v>
      </c>
      <c r="AD35" s="511"/>
      <c r="AE35" s="511"/>
      <c r="AF35" s="512">
        <f>VLOOKUP(A35,'2526 Band Calculations'!$1:$1048576,21,(FALSE))</f>
        <v>1673934.8025394324</v>
      </c>
      <c r="AG35" s="511">
        <f t="shared" si="19"/>
        <v>2835601.4692060994</v>
      </c>
      <c r="AH35" s="511">
        <f>AG35-K35+I35-G35</f>
        <v>277665.96920609922</v>
      </c>
      <c r="AI35" s="669">
        <f>AH35/(K35-I35)</f>
        <v>0.11739146319783149</v>
      </c>
      <c r="AJ35" s="671">
        <f>IF(AI35&gt;$AU$2,(($AU$2)+((AI35-$AU$2)*$AV$2)),(AI35))</f>
        <v>8.3695731598915746E-2</v>
      </c>
      <c r="AK35" s="670">
        <f>AH35/AI35*AJ35</f>
        <v>197965.4721030496</v>
      </c>
      <c r="AL35" s="670">
        <f>AH35-AK35</f>
        <v>79700.497103049624</v>
      </c>
      <c r="AM35" s="511">
        <f>'2627 Band Values'!$I$18*'2526 Funding Comparisons'!L35</f>
        <v>60379.252160386794</v>
      </c>
      <c r="AN35" s="511">
        <f>AH35+AM35</f>
        <v>338045.22136648605</v>
      </c>
      <c r="AO35" s="669">
        <f t="shared" si="20"/>
        <v>0.14291856966379354</v>
      </c>
      <c r="AP35" s="671">
        <f t="shared" si="21"/>
        <v>9.645928483189678E-2</v>
      </c>
      <c r="AQ35" s="670">
        <f t="shared" si="22"/>
        <v>228155.09818324304</v>
      </c>
      <c r="AR35" s="511">
        <f t="shared" si="23"/>
        <v>109890.12318324301</v>
      </c>
      <c r="AS35" s="475" t="s">
        <v>768</v>
      </c>
    </row>
    <row r="36" spans="1:45" x14ac:dyDescent="0.25">
      <c r="A36" s="482">
        <v>9257030</v>
      </c>
      <c r="B36" s="480" t="str">
        <f>VLOOKUP(A36,'2627 Funding Detail'!$A$3:$B$19,2,(FALSE))</f>
        <v>Woodlands Academy</v>
      </c>
      <c r="C36" s="518" t="s">
        <v>337</v>
      </c>
      <c r="D36" s="511">
        <v>434185</v>
      </c>
      <c r="E36" s="511">
        <v>102930</v>
      </c>
      <c r="F36" s="527">
        <v>257534</v>
      </c>
      <c r="G36" s="511"/>
      <c r="H36" s="512">
        <v>1302843.75</v>
      </c>
      <c r="I36" s="511">
        <v>20331.899999999998</v>
      </c>
      <c r="J36" s="511">
        <v>2117824.65</v>
      </c>
      <c r="K36" s="512">
        <v>1860290.65</v>
      </c>
      <c r="L36" s="675">
        <v>81.25</v>
      </c>
      <c r="M36" s="496">
        <v>0</v>
      </c>
      <c r="N36" s="513">
        <v>81.25</v>
      </c>
      <c r="O36" s="496">
        <v>16035</v>
      </c>
      <c r="P36" s="514">
        <v>0</v>
      </c>
      <c r="Q36" s="514">
        <v>1860290.65</v>
      </c>
      <c r="R36" s="496">
        <v>812500</v>
      </c>
      <c r="S36" s="496">
        <v>0</v>
      </c>
      <c r="T36" s="506">
        <v>22895.884923076923</v>
      </c>
      <c r="U36" s="506">
        <v>812500</v>
      </c>
      <c r="V36" s="506">
        <v>12895.884923076923</v>
      </c>
      <c r="W36" s="511">
        <v>1047790.6499999999</v>
      </c>
      <c r="X36" s="511">
        <v>1860290.65</v>
      </c>
      <c r="Y36" s="511">
        <f>D36+E36+G36+H36</f>
        <v>1839958.75</v>
      </c>
      <c r="Z36" s="511">
        <f>L36*Summary!$B$36</f>
        <v>812500</v>
      </c>
      <c r="AA36" s="511">
        <f>VLOOKUP(A36,'2526 Band Calculations'!$1:$1048576,18,(FALSE))</f>
        <v>1170793.7105279386</v>
      </c>
      <c r="AB36" s="511">
        <f t="shared" si="17"/>
        <v>1983293.7105279386</v>
      </c>
      <c r="AC36" s="812">
        <f t="shared" si="18"/>
        <v>143334.96052793856</v>
      </c>
      <c r="AD36" s="511"/>
      <c r="AE36" s="511"/>
      <c r="AF36" s="512">
        <f>VLOOKUP(A36,'2526 Band Calculations'!$1:$1048576,21,(FALSE))</f>
        <v>1170793.7105279386</v>
      </c>
      <c r="AG36" s="511">
        <f t="shared" si="19"/>
        <v>1983293.7105279386</v>
      </c>
      <c r="AH36" s="511">
        <f t="shared" ref="AH36" si="24">AG36-K36+I36</f>
        <v>143334.96052793865</v>
      </c>
      <c r="AI36" s="669">
        <f>AH36/(K36-I36)</f>
        <v>7.790118149547573E-2</v>
      </c>
      <c r="AJ36" s="671">
        <f>IF(AI36&gt;$AU$2,(($AU$2)+((AI36-$AU$2)*$AV$2)),(AI36))</f>
        <v>6.3950590747737873E-2</v>
      </c>
      <c r="AK36" s="670">
        <f>AH36/AI36*AJ36</f>
        <v>117666.44901396932</v>
      </c>
      <c r="AL36" s="670">
        <f>AH36-AK36</f>
        <v>25668.511513969323</v>
      </c>
      <c r="AM36" s="511">
        <f>'2627 Band Values'!$I$18*'2526 Funding Comparisons'!L36</f>
        <v>42230.825578462784</v>
      </c>
      <c r="AN36" s="511">
        <f>AH36+AM36</f>
        <v>185565.78610640141</v>
      </c>
      <c r="AO36" s="669">
        <f t="shared" si="20"/>
        <v>0.10085323168598286</v>
      </c>
      <c r="AP36" s="671">
        <f t="shared" si="21"/>
        <v>7.5426615842991429E-2</v>
      </c>
      <c r="AQ36" s="670">
        <f t="shared" si="22"/>
        <v>138781.86180320071</v>
      </c>
      <c r="AR36" s="511">
        <f t="shared" si="23"/>
        <v>46783.924303200707</v>
      </c>
    </row>
    <row r="38" spans="1:45" x14ac:dyDescent="0.25">
      <c r="K38" s="496"/>
      <c r="AH38" s="496">
        <f>SUM(AH33:AH36)</f>
        <v>708368.74818532902</v>
      </c>
      <c r="AK38" s="496">
        <f>SUM(AK33:AK36)</f>
        <v>551347.1740926645</v>
      </c>
      <c r="AL38" s="496">
        <f>SUM(AL33:AL36)</f>
        <v>157021.57409266452</v>
      </c>
      <c r="AM38" s="496">
        <f>SUM(AM33:AM36)</f>
        <v>187115.04256303509</v>
      </c>
      <c r="AN38" s="496">
        <f>SUM(AN33:AN36)</f>
        <v>895483.79074836406</v>
      </c>
      <c r="AQ38" s="496">
        <f>SUM(AQ33:AQ36)</f>
        <v>644904.69537418208</v>
      </c>
    </row>
    <row r="39" spans="1:45" x14ac:dyDescent="0.25">
      <c r="Z39" s="525"/>
    </row>
    <row r="40" spans="1:45" x14ac:dyDescent="0.25">
      <c r="Z40" s="525"/>
      <c r="AH40" s="496">
        <f>AS17+AH38</f>
        <v>3093049.0963032646</v>
      </c>
      <c r="AK40" s="496">
        <f>AV17+AK38</f>
        <v>2617134.0320246839</v>
      </c>
      <c r="AL40" s="496">
        <f>AW17+AL38</f>
        <v>475915.06427858071</v>
      </c>
      <c r="AN40" s="496">
        <f>AS17+AN38</f>
        <v>3280164.1388662998</v>
      </c>
      <c r="AQ40" s="525">
        <f>AP17+AQ38</f>
        <v>2379928.1429419401</v>
      </c>
    </row>
    <row r="41" spans="1:45" x14ac:dyDescent="0.25">
      <c r="Z41" s="525"/>
    </row>
    <row r="42" spans="1:45" ht="13" thickBot="1" x14ac:dyDescent="0.3">
      <c r="D42" s="528">
        <v>9236532.5</v>
      </c>
      <c r="E42" s="528">
        <v>2311891.608525</v>
      </c>
      <c r="F42" s="528">
        <v>985021</v>
      </c>
      <c r="G42" s="528">
        <v>1402885.891475</v>
      </c>
      <c r="H42" s="528">
        <v>32671445.520728376</v>
      </c>
      <c r="I42" s="528">
        <v>476064</v>
      </c>
      <c r="J42" s="528">
        <v>47083840.520728372</v>
      </c>
      <c r="K42" s="528">
        <v>44695933.629253373</v>
      </c>
      <c r="L42" s="529">
        <v>2425.166666666667</v>
      </c>
      <c r="M42" s="528">
        <v>4660195.9629227994</v>
      </c>
      <c r="N42" s="529">
        <v>2245.9834936843999</v>
      </c>
      <c r="O42" s="529"/>
      <c r="P42" s="528">
        <v>50602.977252706485</v>
      </c>
      <c r="Q42" s="528">
        <v>44746536.606506079</v>
      </c>
      <c r="R42" s="528">
        <v>24251666.666666668</v>
      </c>
      <c r="T42" s="496"/>
      <c r="U42" s="528">
        <v>24251666.666666668</v>
      </c>
      <c r="V42" s="496"/>
      <c r="W42" s="528">
        <v>20494869.939839415</v>
      </c>
      <c r="X42" s="528">
        <v>44746536.606506079</v>
      </c>
      <c r="Z42" s="525"/>
    </row>
    <row r="43" spans="1:45" x14ac:dyDescent="0.25">
      <c r="AH43" s="525">
        <f>D35+E35+G35+H35</f>
        <v>2557935.5</v>
      </c>
    </row>
    <row r="44" spans="1:45" x14ac:dyDescent="0.25">
      <c r="AH44" s="525">
        <f>AG35+AM35</f>
        <v>2895980.721366486</v>
      </c>
    </row>
    <row r="45" spans="1:45" x14ac:dyDescent="0.25">
      <c r="AH45" s="525">
        <f>AH44-AH43</f>
        <v>338045.22136648605</v>
      </c>
    </row>
    <row r="46" spans="1:45" x14ac:dyDescent="0.25">
      <c r="A46" s="475" t="s">
        <v>793</v>
      </c>
    </row>
    <row r="48" spans="1:45" x14ac:dyDescent="0.25">
      <c r="AH48" s="525"/>
    </row>
    <row r="49" spans="1:10" ht="25" x14ac:dyDescent="0.25">
      <c r="C49" s="667" t="s">
        <v>886</v>
      </c>
      <c r="D49" s="665" t="s">
        <v>233</v>
      </c>
      <c r="E49" s="665" t="s">
        <v>240</v>
      </c>
      <c r="F49" s="665" t="s">
        <v>382</v>
      </c>
      <c r="G49" s="665" t="s">
        <v>385</v>
      </c>
      <c r="H49" s="667" t="s">
        <v>318</v>
      </c>
    </row>
    <row r="50" spans="1:10" x14ac:dyDescent="0.25">
      <c r="A50" s="482">
        <v>9257010</v>
      </c>
      <c r="B50" s="810" t="str">
        <f>VLOOKUP(A50,'2627 Funding Detail'!$A$3:$B$19,2,(FALSE))</f>
        <v>Boston Endeavour Academy</v>
      </c>
      <c r="C50" s="811">
        <f>L4</f>
        <v>156.83333333333334</v>
      </c>
      <c r="D50" s="511">
        <f>Z4</f>
        <v>1568333.3333333335</v>
      </c>
      <c r="E50" s="511">
        <f>AF4</f>
        <v>1468785.1118621696</v>
      </c>
      <c r="F50" s="809">
        <f>AJ4</f>
        <v>0</v>
      </c>
      <c r="G50" s="809">
        <f>AK4</f>
        <v>0</v>
      </c>
      <c r="H50" s="511">
        <f>AL4</f>
        <v>3037118.4451955031</v>
      </c>
    </row>
    <row r="51" spans="1:10" x14ac:dyDescent="0.25">
      <c r="A51" s="482">
        <v>9257005</v>
      </c>
      <c r="B51" s="810" t="str">
        <f>VLOOKUP(A51,'2627 Funding Detail'!$A$3:$B$19,2,(FALSE))</f>
        <v>Newton Bridge Academy</v>
      </c>
      <c r="C51" s="811">
        <f t="shared" ref="C51:C61" si="25">L5</f>
        <v>257</v>
      </c>
      <c r="D51" s="511">
        <f t="shared" ref="D51:D61" si="26">Z5</f>
        <v>2570000</v>
      </c>
      <c r="E51" s="511">
        <f t="shared" ref="E51:E61" si="27">AF5</f>
        <v>2112005.9683213923</v>
      </c>
      <c r="F51" s="809">
        <f t="shared" ref="F51:H51" si="28">AJ5</f>
        <v>82700</v>
      </c>
      <c r="G51" s="809">
        <f t="shared" si="28"/>
        <v>0</v>
      </c>
      <c r="H51" s="511">
        <f t="shared" si="28"/>
        <v>4764705.9683213923</v>
      </c>
    </row>
    <row r="52" spans="1:10" x14ac:dyDescent="0.25">
      <c r="A52" s="482">
        <v>9257025</v>
      </c>
      <c r="B52" s="810" t="str">
        <f>VLOOKUP(A52,'2627 Funding Detail'!$A$3:$B$19,2,(FALSE))</f>
        <v>St Bernards School, Louth</v>
      </c>
      <c r="C52" s="811">
        <f t="shared" si="25"/>
        <v>110</v>
      </c>
      <c r="D52" s="511">
        <f t="shared" si="26"/>
        <v>1100000</v>
      </c>
      <c r="E52" s="511">
        <f t="shared" si="27"/>
        <v>848112.61240623263</v>
      </c>
      <c r="F52" s="809">
        <f t="shared" ref="F52:H52" si="29">AJ6</f>
        <v>0</v>
      </c>
      <c r="G52" s="809">
        <f t="shared" si="29"/>
        <v>66160</v>
      </c>
      <c r="H52" s="511">
        <f t="shared" si="29"/>
        <v>2014272.6124062326</v>
      </c>
    </row>
    <row r="53" spans="1:10" x14ac:dyDescent="0.25">
      <c r="A53" s="482">
        <v>9257024</v>
      </c>
      <c r="B53" s="810" t="str">
        <f>VLOOKUP(A53,'2627 Funding Detail'!$A$3:$B$19,2,(FALSE))</f>
        <v>The Eresby School</v>
      </c>
      <c r="C53" s="811">
        <f t="shared" si="25"/>
        <v>108.83333333333334</v>
      </c>
      <c r="D53" s="511">
        <f t="shared" si="26"/>
        <v>1088333.3333333335</v>
      </c>
      <c r="E53" s="511">
        <f t="shared" si="27"/>
        <v>719901.90621662955</v>
      </c>
      <c r="F53" s="809">
        <f t="shared" ref="F53:H53" si="30">AJ7</f>
        <v>0</v>
      </c>
      <c r="G53" s="809">
        <f t="shared" si="30"/>
        <v>68089.666666666657</v>
      </c>
      <c r="H53" s="511">
        <f t="shared" si="30"/>
        <v>1876324.9062166298</v>
      </c>
    </row>
    <row r="54" spans="1:10" x14ac:dyDescent="0.25">
      <c r="A54" s="482">
        <v>9257033</v>
      </c>
      <c r="B54" s="810" t="str">
        <f>VLOOKUP(A54,'2627 Funding Detail'!$A$3:$B$19,2,(FALSE))</f>
        <v>Mayflower Academy Warren Wood - A Specialist Academy</v>
      </c>
      <c r="C54" s="811">
        <f t="shared" si="25"/>
        <v>122.41666666666669</v>
      </c>
      <c r="D54" s="511">
        <f t="shared" si="26"/>
        <v>1224166.6666666667</v>
      </c>
      <c r="E54" s="511">
        <f t="shared" si="27"/>
        <v>898695.48307770456</v>
      </c>
      <c r="F54" s="809">
        <f t="shared" ref="F54:H54" si="31">AJ8</f>
        <v>0</v>
      </c>
      <c r="G54" s="809">
        <f t="shared" si="31"/>
        <v>45622.833333333307</v>
      </c>
      <c r="H54" s="511">
        <f t="shared" si="31"/>
        <v>2168484.9830777049</v>
      </c>
    </row>
    <row r="55" spans="1:10" x14ac:dyDescent="0.25">
      <c r="A55" s="482">
        <v>9257008</v>
      </c>
      <c r="B55" s="810" t="str">
        <f>VLOOKUP(A55,'2627 Funding Detail'!$A$3:$B$19,2,(FALSE))</f>
        <v>Gosberton House Academy</v>
      </c>
      <c r="C55" s="811">
        <f t="shared" si="25"/>
        <v>101</v>
      </c>
      <c r="D55" s="511">
        <f t="shared" si="26"/>
        <v>1010000</v>
      </c>
      <c r="E55" s="511">
        <f t="shared" si="27"/>
        <v>645894.1311609979</v>
      </c>
      <c r="F55" s="809">
        <f t="shared" ref="F55:H55" si="32">AJ9</f>
        <v>0</v>
      </c>
      <c r="G55" s="809">
        <f t="shared" si="32"/>
        <v>81046</v>
      </c>
      <c r="H55" s="511">
        <f t="shared" si="32"/>
        <v>1736940.1311609978</v>
      </c>
    </row>
    <row r="56" spans="1:10" x14ac:dyDescent="0.25">
      <c r="A56" s="482">
        <v>9257034</v>
      </c>
      <c r="B56" s="810" t="str">
        <f>VLOOKUP(A56,'2627 Funding Detail'!$A$3:$B$19,2,(FALSE))</f>
        <v>Inspire Connected Communities Trust - Aegir School</v>
      </c>
      <c r="C56" s="811">
        <f t="shared" si="25"/>
        <v>155.08333333333337</v>
      </c>
      <c r="D56" s="511">
        <f t="shared" si="26"/>
        <v>1550833.3333333337</v>
      </c>
      <c r="E56" s="511">
        <f t="shared" si="27"/>
        <v>919673.52671947889</v>
      </c>
      <c r="F56" s="809">
        <f t="shared" ref="F56:H56" si="33">AJ10</f>
        <v>0</v>
      </c>
      <c r="G56" s="809">
        <f t="shared" si="33"/>
        <v>0</v>
      </c>
      <c r="H56" s="511">
        <f t="shared" si="33"/>
        <v>2470506.8600528128</v>
      </c>
    </row>
    <row r="57" spans="1:10" x14ac:dyDescent="0.25">
      <c r="A57" s="482">
        <v>9257009</v>
      </c>
      <c r="B57" s="810" t="str">
        <f>VLOOKUP(A57,'2627 Funding Detail'!$A$3:$B$19,2,(FALSE))</f>
        <v>Tulip Academy</v>
      </c>
      <c r="C57" s="811">
        <f t="shared" si="25"/>
        <v>229.75000000000003</v>
      </c>
      <c r="D57" s="511">
        <f t="shared" si="26"/>
        <v>2297500.0000000005</v>
      </c>
      <c r="E57" s="511">
        <f t="shared" si="27"/>
        <v>1716612.0149780731</v>
      </c>
      <c r="F57" s="809">
        <f t="shared" ref="F57:H57" si="34">AJ11</f>
        <v>82700</v>
      </c>
      <c r="G57" s="809">
        <f t="shared" si="34"/>
        <v>0</v>
      </c>
      <c r="H57" s="511">
        <f t="shared" si="34"/>
        <v>4096812.0149780735</v>
      </c>
    </row>
    <row r="58" spans="1:10" x14ac:dyDescent="0.25">
      <c r="A58" s="482">
        <v>9257028</v>
      </c>
      <c r="B58" s="810" t="str">
        <f>VLOOKUP(A58,'2627 Funding Detail'!$A$3:$B$19,2,(FALSE))</f>
        <v>Willoughby Academy</v>
      </c>
      <c r="C58" s="811">
        <f t="shared" si="25"/>
        <v>147</v>
      </c>
      <c r="D58" s="511">
        <f t="shared" si="26"/>
        <v>1470000</v>
      </c>
      <c r="E58" s="511">
        <f t="shared" si="27"/>
        <v>1691743.2700658687</v>
      </c>
      <c r="F58" s="809">
        <f t="shared" ref="F58:H58" si="35">AJ12</f>
        <v>0</v>
      </c>
      <c r="G58" s="809">
        <f t="shared" si="35"/>
        <v>4962</v>
      </c>
      <c r="H58" s="511">
        <f t="shared" si="35"/>
        <v>3166705.2700658687</v>
      </c>
    </row>
    <row r="59" spans="1:10" x14ac:dyDescent="0.25">
      <c r="A59" s="482">
        <v>9257021</v>
      </c>
      <c r="B59" s="810" t="str">
        <f>VLOOKUP(A59,'2627 Funding Detail'!$A$3:$B$19,2,(FALSE))</f>
        <v>St Lawrence School</v>
      </c>
      <c r="C59" s="811">
        <f t="shared" si="25"/>
        <v>180</v>
      </c>
      <c r="D59" s="511">
        <f t="shared" si="26"/>
        <v>1800000</v>
      </c>
      <c r="E59" s="511">
        <f t="shared" si="27"/>
        <v>988065.13329897064</v>
      </c>
      <c r="F59" s="809">
        <f t="shared" ref="F59:H59" si="36">AJ13</f>
        <v>0</v>
      </c>
      <c r="G59" s="809">
        <f t="shared" si="36"/>
        <v>0</v>
      </c>
      <c r="H59" s="511">
        <f t="shared" si="36"/>
        <v>2788065.1332989708</v>
      </c>
    </row>
    <row r="60" spans="1:10" x14ac:dyDescent="0.25">
      <c r="A60" s="482">
        <v>9257015</v>
      </c>
      <c r="B60" s="810" t="str">
        <f>VLOOKUP(A60,'2627 Funding Detail'!$A$3:$B$19,2,(FALSE))</f>
        <v>St Christopher's Special School</v>
      </c>
      <c r="C60" s="811">
        <f t="shared" si="25"/>
        <v>325.91666666666669</v>
      </c>
      <c r="D60" s="511">
        <f t="shared" si="26"/>
        <v>3259166.666666667</v>
      </c>
      <c r="E60" s="511">
        <f t="shared" si="27"/>
        <v>3173369.8703853777</v>
      </c>
      <c r="F60" s="809">
        <f t="shared" ref="F60:H60" si="37">AJ14</f>
        <v>82700</v>
      </c>
      <c r="G60" s="809">
        <f t="shared" si="37"/>
        <v>0</v>
      </c>
      <c r="H60" s="511">
        <f t="shared" si="37"/>
        <v>6515236.5370520446</v>
      </c>
    </row>
    <row r="61" spans="1:10" x14ac:dyDescent="0.25">
      <c r="A61" s="482">
        <v>9257016</v>
      </c>
      <c r="B61" s="810" t="str">
        <f>VLOOKUP(A61,'2627 Funding Detail'!$A$3:$B$19,2,(FALSE))</f>
        <v>St Francis Special Needs School</v>
      </c>
      <c r="C61" s="811">
        <f t="shared" si="25"/>
        <v>171.33333333333334</v>
      </c>
      <c r="D61" s="511">
        <f t="shared" si="26"/>
        <v>1713333.3333333335</v>
      </c>
      <c r="E61" s="511">
        <f t="shared" si="27"/>
        <v>3173268.5613242714</v>
      </c>
      <c r="F61" s="809">
        <f t="shared" ref="F61:H61" si="38">AJ15</f>
        <v>0</v>
      </c>
      <c r="G61" s="809">
        <f t="shared" si="38"/>
        <v>0</v>
      </c>
      <c r="H61" s="511">
        <f t="shared" si="38"/>
        <v>4886601.8946576044</v>
      </c>
    </row>
    <row r="62" spans="1:10" x14ac:dyDescent="0.25">
      <c r="A62" s="482">
        <v>9257031</v>
      </c>
      <c r="B62" s="810" t="str">
        <f>VLOOKUP(A62,'2627 Funding Detail'!$A$3:$B$19,2,(FALSE))</f>
        <v>Fortuna School</v>
      </c>
      <c r="C62" s="811">
        <f>L33</f>
        <v>80.583333333333343</v>
      </c>
      <c r="D62" s="511">
        <f>Z33</f>
        <v>805833.33333333337</v>
      </c>
      <c r="E62" s="511">
        <f>AA33+AM33</f>
        <v>1203071.5142716824</v>
      </c>
      <c r="F62" s="501">
        <v>0</v>
      </c>
      <c r="G62" s="501">
        <v>0</v>
      </c>
      <c r="H62" s="511">
        <f>SUM(D62:G62)</f>
        <v>2008904.8476050156</v>
      </c>
      <c r="I62" s="525"/>
      <c r="J62" s="525"/>
    </row>
    <row r="63" spans="1:10" x14ac:dyDescent="0.25">
      <c r="A63" s="482">
        <v>9257029</v>
      </c>
      <c r="B63" s="810" t="str">
        <f>VLOOKUP(A63,'2627 Funding Detail'!$A$3:$B$19,2,(FALSE))</f>
        <v>Greenfields Academy</v>
      </c>
      <c r="C63" s="811">
        <f t="shared" ref="C63:C65" si="39">L34</f>
        <v>82</v>
      </c>
      <c r="D63" s="511">
        <f t="shared" ref="D63:D65" si="40">Z34</f>
        <v>820000</v>
      </c>
      <c r="E63" s="511">
        <f t="shared" ref="E63:E65" si="41">AA34+AM34</f>
        <v>1224221.6856704606</v>
      </c>
      <c r="F63" s="501">
        <v>0</v>
      </c>
      <c r="G63" s="501">
        <v>0</v>
      </c>
      <c r="H63" s="511">
        <f t="shared" ref="H63:H65" si="42">SUM(D63:G63)</f>
        <v>2044221.6856704606</v>
      </c>
      <c r="I63" s="525"/>
      <c r="J63" s="525"/>
    </row>
    <row r="64" spans="1:10" x14ac:dyDescent="0.25">
      <c r="A64" s="482">
        <v>9257032</v>
      </c>
      <c r="B64" s="810" t="str">
        <f>VLOOKUP(A64,'2627 Funding Detail'!$A$3:$B$19,2,(FALSE))</f>
        <v>Athena School</v>
      </c>
      <c r="C64" s="811">
        <f t="shared" si="39"/>
        <v>116.16666666666667</v>
      </c>
      <c r="D64" s="511">
        <f t="shared" si="40"/>
        <v>1161666.6666666667</v>
      </c>
      <c r="E64" s="511">
        <f t="shared" si="41"/>
        <v>1734314.0546998193</v>
      </c>
      <c r="F64" s="501">
        <v>0</v>
      </c>
      <c r="G64" s="501">
        <v>0</v>
      </c>
      <c r="H64" s="511">
        <f t="shared" si="42"/>
        <v>2895980.721366486</v>
      </c>
      <c r="I64" s="525"/>
      <c r="J64" s="525"/>
    </row>
    <row r="65" spans="1:10" x14ac:dyDescent="0.25">
      <c r="A65" s="482">
        <v>9257030</v>
      </c>
      <c r="B65" s="810" t="str">
        <f>VLOOKUP(A65,'2627 Funding Detail'!$A$3:$B$19,2,(FALSE))</f>
        <v>Woodlands Academy</v>
      </c>
      <c r="C65" s="811">
        <f t="shared" si="39"/>
        <v>81.25</v>
      </c>
      <c r="D65" s="511">
        <f t="shared" si="40"/>
        <v>812500</v>
      </c>
      <c r="E65" s="511">
        <f t="shared" si="41"/>
        <v>1213024.5361064014</v>
      </c>
      <c r="F65" s="501">
        <v>0</v>
      </c>
      <c r="G65" s="501">
        <v>0</v>
      </c>
      <c r="H65" s="511">
        <f t="shared" si="42"/>
        <v>2025524.5361064014</v>
      </c>
      <c r="I65" s="525"/>
      <c r="J65" s="525"/>
    </row>
  </sheetData>
  <mergeCells count="6">
    <mergeCell ref="AJ30:AL30"/>
    <mergeCell ref="AP30:AR30"/>
    <mergeCell ref="AJ1:AN1"/>
    <mergeCell ref="AA2:AC2"/>
    <mergeCell ref="AF2:AI2"/>
    <mergeCell ref="AF1:AI1"/>
  </mergeCells>
  <conditionalFormatting sqref="C4:C15 C33:C34 C36">
    <cfRule type="cellIs" dxfId="3" priority="1" operator="equal">
      <formula>#REF!</formula>
    </cfRule>
    <cfRule type="cellIs" dxfId="2" priority="2" operator="equal">
      <formula>#REF!</formula>
    </cfRule>
  </conditionalFormatting>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7F27-49A3-4CC0-B11C-6EDE4C912891}">
  <dimension ref="A1:M56"/>
  <sheetViews>
    <sheetView workbookViewId="0">
      <selection activeCell="B54" sqref="B54"/>
    </sheetView>
  </sheetViews>
  <sheetFormatPr defaultColWidth="8.7265625" defaultRowHeight="12.5" x14ac:dyDescent="0.25"/>
  <cols>
    <col min="1" max="1" width="41.54296875" style="445" customWidth="1"/>
    <col min="2" max="7" width="8.7265625" style="445"/>
    <col min="8" max="8" width="9.81640625" style="445" bestFit="1" customWidth="1"/>
    <col min="9" max="9" width="9.1796875" style="445" bestFit="1" customWidth="1"/>
    <col min="10" max="16384" width="8.7265625" style="445"/>
  </cols>
  <sheetData>
    <row r="1" spans="1:13" ht="13" x14ac:dyDescent="0.3">
      <c r="A1" s="444" t="s">
        <v>226</v>
      </c>
    </row>
    <row r="3" spans="1:13" x14ac:dyDescent="0.25">
      <c r="A3" s="446" t="s">
        <v>227</v>
      </c>
    </row>
    <row r="4" spans="1:13" ht="13" x14ac:dyDescent="0.3">
      <c r="A4" s="445" t="s">
        <v>228</v>
      </c>
      <c r="M4" s="445" t="s">
        <v>229</v>
      </c>
    </row>
    <row r="5" spans="1:13" x14ac:dyDescent="0.25">
      <c r="A5" s="445" t="s">
        <v>230</v>
      </c>
    </row>
    <row r="7" spans="1:13" x14ac:dyDescent="0.25">
      <c r="A7" s="446" t="s">
        <v>231</v>
      </c>
    </row>
    <row r="8" spans="1:13" x14ac:dyDescent="0.25">
      <c r="A8" s="445" t="s">
        <v>232</v>
      </c>
    </row>
    <row r="9" spans="1:13" ht="13" x14ac:dyDescent="0.3">
      <c r="A9" s="444" t="s">
        <v>233</v>
      </c>
    </row>
    <row r="10" spans="1:13" x14ac:dyDescent="0.25">
      <c r="A10" s="445" t="s">
        <v>234</v>
      </c>
      <c r="B10" s="757">
        <f>'2627 Band Values'!H6</f>
        <v>7584.8789331992784</v>
      </c>
    </row>
    <row r="11" spans="1:13" x14ac:dyDescent="0.25">
      <c r="A11" s="445" t="s">
        <v>235</v>
      </c>
      <c r="B11" s="924">
        <f>('Staff Pay Schedule'!N51/150)+1360</f>
        <v>5371.2019020805383</v>
      </c>
      <c r="D11" s="445" t="s">
        <v>371</v>
      </c>
    </row>
    <row r="12" spans="1:13" x14ac:dyDescent="0.25">
      <c r="A12" s="445" t="s">
        <v>236</v>
      </c>
      <c r="B12" s="924"/>
      <c r="H12" s="447">
        <f>'Staff Pay Schedule'!N51/150</f>
        <v>4011.2019020805378</v>
      </c>
    </row>
    <row r="13" spans="1:13" x14ac:dyDescent="0.25">
      <c r="B13" s="448">
        <f>IF(B10+B11&gt;10000,(10000),(B10+B11))</f>
        <v>10000</v>
      </c>
      <c r="D13" s="445" t="s">
        <v>237</v>
      </c>
    </row>
    <row r="14" spans="1:13" ht="13" x14ac:dyDescent="0.3">
      <c r="B14" s="449"/>
      <c r="M14" s="445" t="s">
        <v>238</v>
      </c>
    </row>
    <row r="15" spans="1:13" x14ac:dyDescent="0.25">
      <c r="B15" s="450">
        <f>SUM(B10:B12)</f>
        <v>12956.080835279816</v>
      </c>
    </row>
    <row r="16" spans="1:13" x14ac:dyDescent="0.25">
      <c r="G16" s="570" t="s">
        <v>406</v>
      </c>
      <c r="H16" s="447">
        <f>'Combined- special'!D217</f>
        <v>1333.3333333333333</v>
      </c>
      <c r="I16" s="445" t="s">
        <v>786</v>
      </c>
      <c r="M16" s="445" t="s">
        <v>239</v>
      </c>
    </row>
    <row r="17" spans="1:13" ht="13" x14ac:dyDescent="0.3">
      <c r="A17" s="444" t="s">
        <v>240</v>
      </c>
      <c r="G17" s="570" t="s">
        <v>407</v>
      </c>
      <c r="H17" s="447">
        <f>H16*(100%-3.4%)</f>
        <v>1288</v>
      </c>
      <c r="I17" s="647"/>
    </row>
    <row r="18" spans="1:13" x14ac:dyDescent="0.25">
      <c r="A18" s="445" t="s">
        <v>241</v>
      </c>
      <c r="B18" s="447">
        <f>IF($B$10+$B$11&gt;10000,($B$10+$B$11-10000),(0))</f>
        <v>2956.0808352798158</v>
      </c>
      <c r="G18" s="570" t="s">
        <v>408</v>
      </c>
      <c r="H18" s="447">
        <f>H17*1.017</f>
        <v>1309.896</v>
      </c>
      <c r="I18" s="569">
        <v>1.7000000000000001E-2</v>
      </c>
      <c r="M18" s="445" t="s">
        <v>242</v>
      </c>
    </row>
    <row r="19" spans="1:13" ht="13" x14ac:dyDescent="0.3">
      <c r="A19" s="445" t="s">
        <v>243</v>
      </c>
      <c r="B19" s="447">
        <f>IF($B$10+$B$11&gt;10000,($B$10+$B$11-10000+'2627 Band Values'!H9),(0))</f>
        <v>12062.660908162306</v>
      </c>
      <c r="G19" s="570" t="s">
        <v>409</v>
      </c>
      <c r="H19" s="572">
        <f>H18*1.038</f>
        <v>1359.6720479999999</v>
      </c>
      <c r="I19" s="569">
        <v>3.7999999999999999E-2</v>
      </c>
    </row>
    <row r="20" spans="1:13" x14ac:dyDescent="0.25">
      <c r="A20" s="445" t="s">
        <v>244</v>
      </c>
      <c r="B20" s="447">
        <f>IF($B$10+$B$11&gt;10000,($B$10+$B$11-10000+'2627 Band Values'!H11),(0))</f>
        <v>28116.834519775301</v>
      </c>
      <c r="G20" s="570" t="s">
        <v>758</v>
      </c>
      <c r="H20" s="447">
        <f>H19*150</f>
        <v>203950.80719999998</v>
      </c>
      <c r="I20" s="647"/>
      <c r="M20" s="445" t="s">
        <v>245</v>
      </c>
    </row>
    <row r="21" spans="1:13" x14ac:dyDescent="0.25">
      <c r="A21" s="445" t="s">
        <v>246</v>
      </c>
      <c r="B21" s="447">
        <f>IF($B$10+$B$11&gt;10000,($B$10+$B$11-10000+'2627 Band Values'!H13),(0))</f>
        <v>30048.834519775301</v>
      </c>
      <c r="C21" s="445" t="s">
        <v>247</v>
      </c>
    </row>
    <row r="22" spans="1:13" x14ac:dyDescent="0.25">
      <c r="B22" s="447"/>
    </row>
    <row r="24" spans="1:13" ht="13" x14ac:dyDescent="0.3">
      <c r="A24" s="444" t="s">
        <v>368</v>
      </c>
      <c r="H24" s="647">
        <f>H20/80</f>
        <v>2549.3850899999998</v>
      </c>
    </row>
    <row r="25" spans="1:13" x14ac:dyDescent="0.25">
      <c r="A25" s="445" t="s">
        <v>246</v>
      </c>
      <c r="B25" s="447">
        <f>IF($B$10+$B$11&gt;10000,($B$10+$B$11-10000+'2627 Band Values'!H11),(0))</f>
        <v>28116.834519775301</v>
      </c>
      <c r="C25" s="470"/>
      <c r="D25" s="470"/>
      <c r="E25" s="470"/>
      <c r="F25" s="470"/>
      <c r="G25" s="470"/>
      <c r="H25" s="648">
        <f>'Staff Pay Schedule'!N62</f>
        <v>7521.0035664010084</v>
      </c>
      <c r="I25" s="470"/>
    </row>
    <row r="26" spans="1:13" ht="13" x14ac:dyDescent="0.3">
      <c r="A26" s="471" t="s">
        <v>233</v>
      </c>
      <c r="B26" s="470"/>
      <c r="C26" s="470"/>
      <c r="D26" s="470"/>
      <c r="E26" s="470"/>
      <c r="F26" s="470"/>
      <c r="G26" s="470"/>
      <c r="H26" s="649">
        <f>SUM(H24:H25)</f>
        <v>10070.388656401008</v>
      </c>
      <c r="I26" s="470"/>
    </row>
    <row r="27" spans="1:13" x14ac:dyDescent="0.25">
      <c r="A27" s="470" t="s">
        <v>234</v>
      </c>
      <c r="B27" s="472">
        <v>8516.2878857232408</v>
      </c>
      <c r="C27" s="470"/>
      <c r="D27" s="470"/>
      <c r="E27" s="470"/>
      <c r="F27" s="470"/>
      <c r="G27" s="470"/>
      <c r="H27" s="650">
        <f>H26*63</f>
        <v>634434.48535326356</v>
      </c>
      <c r="I27" s="470"/>
    </row>
    <row r="28" spans="1:13" x14ac:dyDescent="0.25">
      <c r="A28" s="470" t="s">
        <v>235</v>
      </c>
      <c r="B28" s="533">
        <v>5309.8384874712301</v>
      </c>
      <c r="C28" s="470"/>
      <c r="D28" s="470"/>
      <c r="E28" s="470"/>
      <c r="F28" s="470"/>
      <c r="G28" s="470"/>
      <c r="H28" s="470"/>
      <c r="I28" s="470"/>
    </row>
    <row r="29" spans="1:13" x14ac:dyDescent="0.25">
      <c r="A29" s="470" t="s">
        <v>236</v>
      </c>
      <c r="B29" s="533"/>
      <c r="C29" s="470"/>
      <c r="D29" s="470"/>
      <c r="E29" s="470"/>
      <c r="F29" s="470"/>
      <c r="G29" s="470"/>
      <c r="H29" s="470"/>
      <c r="I29" s="470"/>
    </row>
    <row r="30" spans="1:13" x14ac:dyDescent="0.25">
      <c r="A30" s="446" t="s">
        <v>231</v>
      </c>
      <c r="B30" s="472">
        <f>IF(B27+B28&gt;10000,(10000),(B27+B28))</f>
        <v>10000</v>
      </c>
      <c r="C30" s="470"/>
      <c r="D30" s="470" t="s">
        <v>237</v>
      </c>
      <c r="E30" s="470"/>
      <c r="F30" s="470"/>
      <c r="G30" s="470"/>
      <c r="H30" s="470"/>
      <c r="I30" s="470"/>
    </row>
    <row r="31" spans="1:13" x14ac:dyDescent="0.25">
      <c r="A31" s="445" t="s">
        <v>232</v>
      </c>
      <c r="B31" s="472"/>
      <c r="C31" s="470"/>
      <c r="D31" s="470"/>
      <c r="G31" s="570" t="s">
        <v>406</v>
      </c>
      <c r="H31" s="447">
        <f>H16*150</f>
        <v>200000</v>
      </c>
      <c r="I31" s="571"/>
    </row>
    <row r="32" spans="1:13" ht="13" x14ac:dyDescent="0.3">
      <c r="A32" s="444" t="s">
        <v>233</v>
      </c>
      <c r="B32" s="472">
        <f>SUM(B27:B29)</f>
        <v>13826.126373194471</v>
      </c>
      <c r="C32" s="470"/>
      <c r="D32" s="470"/>
      <c r="G32" s="570" t="s">
        <v>762</v>
      </c>
      <c r="H32" s="447">
        <f>-150*27</f>
        <v>-4050</v>
      </c>
    </row>
    <row r="33" spans="1:13" x14ac:dyDescent="0.25">
      <c r="A33" s="445" t="s">
        <v>234</v>
      </c>
      <c r="B33" s="447">
        <f>'2627 Band Values'!H6</f>
        <v>7584.8789331992784</v>
      </c>
      <c r="D33" s="470"/>
      <c r="G33" s="570" t="s">
        <v>761</v>
      </c>
      <c r="H33" s="447">
        <f>-15000</f>
        <v>-15000</v>
      </c>
    </row>
    <row r="34" spans="1:13" x14ac:dyDescent="0.25">
      <c r="A34" s="445" t="s">
        <v>235</v>
      </c>
      <c r="B34" s="924">
        <f>('Staff Pay Schedule'!N59/80)+H42</f>
        <v>8151.9564090147378</v>
      </c>
      <c r="C34" s="470"/>
      <c r="D34" s="470"/>
      <c r="G34" s="570" t="s">
        <v>759</v>
      </c>
      <c r="H34" s="447">
        <f>-10000</f>
        <v>-10000</v>
      </c>
    </row>
    <row r="35" spans="1:13" x14ac:dyDescent="0.25">
      <c r="A35" s="445" t="s">
        <v>236</v>
      </c>
      <c r="B35" s="924"/>
      <c r="C35" s="470"/>
      <c r="D35" s="470"/>
      <c r="G35" s="570" t="s">
        <v>763</v>
      </c>
      <c r="H35" s="447">
        <f>-10000</f>
        <v>-10000</v>
      </c>
    </row>
    <row r="36" spans="1:13" x14ac:dyDescent="0.25">
      <c r="B36" s="448">
        <f>IF(B33+B34&gt;10000,(10000),(B33+B34))</f>
        <v>10000</v>
      </c>
      <c r="C36" s="470"/>
      <c r="D36" s="470"/>
      <c r="E36" s="470"/>
      <c r="F36" s="470"/>
      <c r="G36" s="570" t="s">
        <v>760</v>
      </c>
      <c r="H36" s="447">
        <f>-5000</f>
        <v>-5000</v>
      </c>
      <c r="M36" s="445" t="s">
        <v>248</v>
      </c>
    </row>
    <row r="37" spans="1:13" x14ac:dyDescent="0.25">
      <c r="B37" s="472">
        <v>26293.228429576491</v>
      </c>
      <c r="C37" s="470"/>
      <c r="D37" s="470"/>
      <c r="E37" s="470"/>
      <c r="G37" s="641"/>
      <c r="H37" s="642">
        <f>SUM(H31:H36)</f>
        <v>155950</v>
      </c>
      <c r="I37" s="470"/>
    </row>
    <row r="38" spans="1:13" x14ac:dyDescent="0.25">
      <c r="B38" s="450">
        <f>SUM(B33:B35)</f>
        <v>15736.835342214017</v>
      </c>
      <c r="C38" s="470"/>
      <c r="D38" s="470" t="s">
        <v>247</v>
      </c>
      <c r="E38" s="470"/>
      <c r="G38" s="570" t="s">
        <v>407</v>
      </c>
      <c r="H38" s="447">
        <f>H37*(100%-3.4%)</f>
        <v>150647.69999999998</v>
      </c>
      <c r="M38" s="451" t="s">
        <v>249</v>
      </c>
    </row>
    <row r="39" spans="1:13" x14ac:dyDescent="0.25">
      <c r="B39" s="470"/>
      <c r="C39" s="470"/>
      <c r="D39" s="470"/>
      <c r="E39" s="470"/>
      <c r="G39" s="570" t="s">
        <v>408</v>
      </c>
      <c r="H39" s="447">
        <f>H38*1.017</f>
        <v>153208.71089999998</v>
      </c>
      <c r="I39" s="569">
        <v>1.7000000000000001E-2</v>
      </c>
      <c r="M39" s="451"/>
    </row>
    <row r="40" spans="1:13" ht="13" x14ac:dyDescent="0.3">
      <c r="A40" s="444" t="s">
        <v>240</v>
      </c>
      <c r="B40" s="470"/>
      <c r="C40" s="470"/>
      <c r="D40" s="470"/>
      <c r="E40" s="470"/>
      <c r="G40" s="570" t="s">
        <v>409</v>
      </c>
      <c r="H40" s="572">
        <f>H39*1.038</f>
        <v>159030.64191419998</v>
      </c>
      <c r="I40" s="569">
        <v>3.7999999999999999E-2</v>
      </c>
      <c r="M40" s="451" t="s">
        <v>250</v>
      </c>
    </row>
    <row r="41" spans="1:13" x14ac:dyDescent="0.25">
      <c r="A41" s="445" t="s">
        <v>414</v>
      </c>
      <c r="B41" s="447">
        <f>IF($B$33+$B$34&gt;10000,($B$33+$B$34-10000+'2627 Band Values'!H15),(0))</f>
        <v>14409.768744959245</v>
      </c>
      <c r="C41" s="470"/>
      <c r="D41" s="470"/>
      <c r="E41" s="470"/>
      <c r="F41" s="470"/>
      <c r="G41" s="570"/>
      <c r="H41" s="447"/>
      <c r="M41" s="451"/>
    </row>
    <row r="42" spans="1:13" ht="13" x14ac:dyDescent="0.3">
      <c r="B42" s="470"/>
      <c r="C42" s="470"/>
      <c r="D42" s="470"/>
      <c r="E42" s="470"/>
      <c r="F42" s="470"/>
      <c r="G42" s="470"/>
      <c r="H42" s="643">
        <f>H40/80</f>
        <v>1987.8830239274998</v>
      </c>
      <c r="I42" s="470"/>
      <c r="M42" s="451" t="s">
        <v>251</v>
      </c>
    </row>
    <row r="43" spans="1:13" x14ac:dyDescent="0.25">
      <c r="A43" s="445" t="s">
        <v>366</v>
      </c>
      <c r="B43" s="472"/>
      <c r="C43" s="470"/>
      <c r="D43" s="470"/>
      <c r="E43" s="470"/>
      <c r="F43" s="470"/>
      <c r="G43" s="470"/>
      <c r="H43" s="470"/>
      <c r="I43" s="470"/>
      <c r="M43" s="451"/>
    </row>
    <row r="44" spans="1:13" ht="13" x14ac:dyDescent="0.3">
      <c r="A44" s="444" t="s">
        <v>233</v>
      </c>
      <c r="B44" s="472">
        <f>SUM(B39:B41)</f>
        <v>14409.768744959245</v>
      </c>
      <c r="C44" s="470"/>
      <c r="D44" s="470"/>
      <c r="E44" s="470"/>
      <c r="F44" s="470"/>
      <c r="G44" s="470"/>
      <c r="H44" s="470"/>
      <c r="I44" s="470"/>
    </row>
    <row r="45" spans="1:13" x14ac:dyDescent="0.25">
      <c r="A45" s="445" t="s">
        <v>234</v>
      </c>
      <c r="B45" s="447">
        <f>'2627 Band Values'!H6</f>
        <v>7584.8789331992784</v>
      </c>
      <c r="C45" s="470"/>
      <c r="D45" s="470"/>
      <c r="E45" s="470"/>
      <c r="F45" s="470"/>
      <c r="G45" s="470"/>
      <c r="H45" s="470"/>
      <c r="I45" s="470"/>
      <c r="M45" s="451"/>
    </row>
    <row r="46" spans="1:13" x14ac:dyDescent="0.25">
      <c r="A46" s="445" t="s">
        <v>235</v>
      </c>
      <c r="B46" s="924">
        <f>('Staff Pay Schedule'!N59/80)+H42</f>
        <v>8151.9564090147378</v>
      </c>
      <c r="C46" s="470"/>
      <c r="D46" s="470" t="s">
        <v>237</v>
      </c>
      <c r="E46" s="470"/>
      <c r="F46" s="470"/>
      <c r="G46" s="470"/>
      <c r="H46" s="470"/>
      <c r="I46" s="470"/>
      <c r="M46" s="451" t="s">
        <v>252</v>
      </c>
    </row>
    <row r="47" spans="1:13" x14ac:dyDescent="0.25">
      <c r="A47" s="445" t="s">
        <v>236</v>
      </c>
      <c r="B47" s="924"/>
      <c r="C47" s="470"/>
      <c r="D47" s="470"/>
      <c r="E47" s="470"/>
      <c r="F47" s="470"/>
      <c r="G47" s="646" t="s">
        <v>766</v>
      </c>
      <c r="H47" s="645">
        <f>(H20-H40)/80*36</f>
        <v>20214.074378610003</v>
      </c>
      <c r="I47" s="470"/>
      <c r="M47" s="451"/>
    </row>
    <row r="48" spans="1:13" x14ac:dyDescent="0.25">
      <c r="B48" s="448">
        <f>IF(B45+B46&gt;10000,(10000),(B45+B46))</f>
        <v>10000</v>
      </c>
      <c r="C48" s="470"/>
      <c r="D48" s="470"/>
      <c r="E48" s="470"/>
      <c r="F48" s="470"/>
      <c r="G48" s="646" t="s">
        <v>767</v>
      </c>
      <c r="H48" s="470"/>
      <c r="I48" s="470"/>
      <c r="M48" s="451" t="s">
        <v>253</v>
      </c>
    </row>
    <row r="49" spans="1:13" x14ac:dyDescent="0.25">
      <c r="B49" s="472">
        <v>3826.1263731944709</v>
      </c>
      <c r="C49" s="470"/>
      <c r="D49" s="470"/>
      <c r="E49" s="470"/>
      <c r="F49" s="470"/>
      <c r="G49" s="470"/>
      <c r="H49" s="470"/>
      <c r="I49" s="470"/>
    </row>
    <row r="50" spans="1:13" x14ac:dyDescent="0.25">
      <c r="B50" s="450">
        <f>SUM(B45:B47)</f>
        <v>15736.835342214017</v>
      </c>
      <c r="C50" s="470"/>
      <c r="D50" s="470"/>
      <c r="E50" s="470"/>
      <c r="F50" s="470"/>
      <c r="G50" s="470"/>
      <c r="H50" s="470"/>
      <c r="I50" s="470"/>
      <c r="M50" s="445" t="s">
        <v>254</v>
      </c>
    </row>
    <row r="51" spans="1:13" x14ac:dyDescent="0.25">
      <c r="B51" s="470"/>
      <c r="C51" s="470"/>
      <c r="D51" s="470"/>
      <c r="E51" s="470"/>
      <c r="F51" s="470"/>
      <c r="G51" s="470"/>
      <c r="H51" s="470"/>
      <c r="I51" s="470"/>
    </row>
    <row r="52" spans="1:13" ht="13" x14ac:dyDescent="0.3">
      <c r="A52" s="444" t="s">
        <v>240</v>
      </c>
      <c r="B52" s="470"/>
      <c r="C52" s="470"/>
      <c r="D52" s="470"/>
      <c r="E52" s="470"/>
      <c r="F52" s="470"/>
      <c r="G52" s="470"/>
      <c r="H52" s="470"/>
      <c r="I52" s="470"/>
    </row>
    <row r="53" spans="1:13" x14ac:dyDescent="0.25">
      <c r="A53" s="445" t="s">
        <v>848</v>
      </c>
      <c r="B53" s="447">
        <f>IF($B$45+$B$46&gt;10000,($B$45+$B$46-10000),(0))</f>
        <v>5736.8353422140171</v>
      </c>
      <c r="C53" s="470"/>
      <c r="D53" s="470"/>
      <c r="E53" s="470"/>
      <c r="F53" s="470"/>
      <c r="G53" s="470"/>
      <c r="H53" s="470"/>
      <c r="I53" s="470"/>
    </row>
    <row r="54" spans="1:13" x14ac:dyDescent="0.25">
      <c r="A54" s="445" t="s">
        <v>414</v>
      </c>
      <c r="B54" s="447">
        <f>IF($B$33+$B$34&gt;10000,($B$33+$B$34-10000+'2627 Band Values'!H18),(0))</f>
        <v>14929.532752078787</v>
      </c>
      <c r="C54" s="470"/>
      <c r="D54" s="470"/>
      <c r="E54" s="470"/>
      <c r="F54" s="470"/>
      <c r="G54" s="470"/>
      <c r="H54" s="470"/>
      <c r="I54" s="470"/>
    </row>
    <row r="55" spans="1:13" x14ac:dyDescent="0.25">
      <c r="A55" s="445" t="s">
        <v>244</v>
      </c>
      <c r="B55" s="447">
        <f>IF($B$33+$B$34&gt;10000,($B$33+$B$34-10000+'2627 Band Values'!H11),(0))</f>
        <v>30897.589026709502</v>
      </c>
      <c r="C55" s="470"/>
      <c r="D55" s="470" t="s">
        <v>247</v>
      </c>
      <c r="E55" s="470"/>
      <c r="F55" s="470"/>
      <c r="G55" s="470"/>
      <c r="H55" s="470"/>
      <c r="I55" s="470"/>
    </row>
    <row r="56" spans="1:13" x14ac:dyDescent="0.25">
      <c r="B56" s="647"/>
    </row>
  </sheetData>
  <mergeCells count="3">
    <mergeCell ref="B11:B12"/>
    <mergeCell ref="B34:B35"/>
    <mergeCell ref="B46:B4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D7EF-6837-437D-86B5-3E58D4915A27}">
  <dimension ref="A2:P41"/>
  <sheetViews>
    <sheetView workbookViewId="0">
      <selection activeCell="E17" sqref="E17"/>
    </sheetView>
  </sheetViews>
  <sheetFormatPr defaultColWidth="8.7265625" defaultRowHeight="12.5" x14ac:dyDescent="0.25"/>
  <cols>
    <col min="1" max="1" width="8.7265625" style="534"/>
    <col min="2" max="2" width="28.54296875" style="534" bestFit="1" customWidth="1"/>
    <col min="3" max="3" width="24.7265625" style="534" bestFit="1" customWidth="1"/>
    <col min="4" max="4" width="10.7265625" style="534" customWidth="1"/>
    <col min="5" max="6" width="10.81640625" style="534" customWidth="1"/>
    <col min="7" max="8" width="8.7265625" style="534"/>
    <col min="9" max="9" width="8.81640625" style="534" bestFit="1" customWidth="1"/>
    <col min="10" max="10" width="8.7265625" style="534"/>
    <col min="11" max="11" width="8.7265625" style="534" customWidth="1"/>
    <col min="12" max="12" width="0.81640625" style="534" customWidth="1"/>
    <col min="13" max="16" width="10.54296875" style="534" customWidth="1"/>
    <col min="17" max="16384" width="8.7265625" style="534"/>
  </cols>
  <sheetData>
    <row r="2" spans="1:16" x14ac:dyDescent="0.25">
      <c r="M2" s="535"/>
    </row>
    <row r="3" spans="1:16" ht="62.5" x14ac:dyDescent="0.25">
      <c r="A3" s="498" t="s">
        <v>278</v>
      </c>
      <c r="B3" s="480" t="s">
        <v>279</v>
      </c>
      <c r="C3" s="499" t="s">
        <v>311</v>
      </c>
      <c r="D3" s="536" t="s">
        <v>312</v>
      </c>
      <c r="E3" s="536" t="s">
        <v>313</v>
      </c>
      <c r="F3" s="536" t="s">
        <v>361</v>
      </c>
      <c r="G3" s="499" t="s">
        <v>320</v>
      </c>
      <c r="I3" s="541" t="s">
        <v>365</v>
      </c>
      <c r="J3" s="541" t="s">
        <v>376</v>
      </c>
      <c r="K3" s="541" t="s">
        <v>377</v>
      </c>
      <c r="L3" s="542"/>
      <c r="M3" s="541" t="s">
        <v>378</v>
      </c>
      <c r="N3" s="541" t="s">
        <v>381</v>
      </c>
      <c r="O3" s="541" t="s">
        <v>384</v>
      </c>
      <c r="P3" s="541" t="s">
        <v>385</v>
      </c>
    </row>
    <row r="4" spans="1:16" x14ac:dyDescent="0.25">
      <c r="A4" s="482">
        <v>9257008</v>
      </c>
      <c r="B4" s="480" t="s">
        <v>341</v>
      </c>
      <c r="C4" s="518" t="s">
        <v>339</v>
      </c>
      <c r="D4" s="511">
        <v>470457</v>
      </c>
      <c r="E4" s="511">
        <v>131813</v>
      </c>
      <c r="F4" s="511"/>
      <c r="G4" s="517">
        <v>101</v>
      </c>
      <c r="I4" s="537">
        <f>(D4+E4+F4)/G4</f>
        <v>5963.0693069306926</v>
      </c>
      <c r="J4" s="537">
        <f>Summary!$B$11-I4</f>
        <v>-591.86740485015434</v>
      </c>
      <c r="K4" s="537">
        <f t="shared" ref="K4:K15" si="0">J4*G4</f>
        <v>-59778.607889865591</v>
      </c>
      <c r="M4" s="537" t="s">
        <v>379</v>
      </c>
      <c r="N4" s="537">
        <f>SUMIF(M4,"Yes",$A$35)</f>
        <v>0</v>
      </c>
      <c r="O4" s="543" t="str">
        <f>IF(G4&lt;150,"Yes","No")</f>
        <v>Yes</v>
      </c>
      <c r="P4" s="535">
        <f>IF(G4&lt;150,(((150-G4)/(150-100))*$A$40),(0))</f>
        <v>81046</v>
      </c>
    </row>
    <row r="5" spans="1:16" x14ac:dyDescent="0.25">
      <c r="A5" s="482">
        <v>9257024</v>
      </c>
      <c r="B5" s="480" t="s">
        <v>338</v>
      </c>
      <c r="C5" s="518" t="s">
        <v>339</v>
      </c>
      <c r="D5" s="511">
        <v>470457</v>
      </c>
      <c r="E5" s="511">
        <v>131813</v>
      </c>
      <c r="F5" s="511"/>
      <c r="G5" s="517">
        <v>108.83333333333334</v>
      </c>
      <c r="I5" s="537">
        <f t="shared" ref="I5:I15" si="1">(D5+E5+F5)/G5</f>
        <v>5533.8744257274111</v>
      </c>
      <c r="J5" s="537">
        <f>Summary!$B$11-I5</f>
        <v>-162.67252364687283</v>
      </c>
      <c r="K5" s="537">
        <f t="shared" si="0"/>
        <v>-17704.19299023466</v>
      </c>
      <c r="M5" s="537" t="s">
        <v>379</v>
      </c>
      <c r="N5" s="537">
        <f t="shared" ref="N5:N15" si="2">SUMIF(M5,"Yes",$A$35)</f>
        <v>0</v>
      </c>
      <c r="O5" s="543" t="str">
        <f t="shared" ref="O5:O15" si="3">IF(G5&lt;150,"Yes","No")</f>
        <v>Yes</v>
      </c>
      <c r="P5" s="535">
        <f t="shared" ref="P5:P15" si="4">IF(G5&lt;150,(((150-G5)/(150-100))*$A$40),(0))</f>
        <v>68089.666666666657</v>
      </c>
    </row>
    <row r="6" spans="1:16" x14ac:dyDescent="0.25">
      <c r="A6" s="482">
        <v>9257025</v>
      </c>
      <c r="B6" s="480" t="s">
        <v>336</v>
      </c>
      <c r="C6" s="518" t="s">
        <v>337</v>
      </c>
      <c r="D6" s="511">
        <v>516137</v>
      </c>
      <c r="E6" s="511">
        <v>137954</v>
      </c>
      <c r="F6" s="511"/>
      <c r="G6" s="517">
        <v>110</v>
      </c>
      <c r="I6" s="537">
        <f t="shared" si="1"/>
        <v>5946.2818181818184</v>
      </c>
      <c r="J6" s="537">
        <f>Summary!$B$11-I6</f>
        <v>-575.07991610128011</v>
      </c>
      <c r="K6" s="537">
        <f t="shared" si="0"/>
        <v>-63258.790771140812</v>
      </c>
      <c r="M6" s="537" t="s">
        <v>379</v>
      </c>
      <c r="N6" s="537">
        <f t="shared" si="2"/>
        <v>0</v>
      </c>
      <c r="O6" s="543" t="str">
        <f t="shared" si="3"/>
        <v>Yes</v>
      </c>
      <c r="P6" s="535">
        <f t="shared" si="4"/>
        <v>66160</v>
      </c>
    </row>
    <row r="7" spans="1:16" x14ac:dyDescent="0.25">
      <c r="A7" s="482">
        <v>9257033</v>
      </c>
      <c r="B7" s="480" t="s">
        <v>340</v>
      </c>
      <c r="C7" s="518" t="s">
        <v>337</v>
      </c>
      <c r="D7" s="511">
        <v>516137</v>
      </c>
      <c r="E7" s="511">
        <v>137954</v>
      </c>
      <c r="F7" s="511"/>
      <c r="G7" s="517">
        <v>122.41666666666669</v>
      </c>
      <c r="I7" s="537">
        <f t="shared" si="1"/>
        <v>5343.153165418651</v>
      </c>
      <c r="J7" s="537">
        <f>Summary!$B$11-I7</f>
        <v>28.048736661887233</v>
      </c>
      <c r="K7" s="537">
        <f t="shared" si="0"/>
        <v>3433.6328463593627</v>
      </c>
      <c r="M7" s="537" t="s">
        <v>379</v>
      </c>
      <c r="N7" s="537">
        <f t="shared" si="2"/>
        <v>0</v>
      </c>
      <c r="O7" s="543" t="str">
        <f t="shared" si="3"/>
        <v>Yes</v>
      </c>
      <c r="P7" s="535">
        <f t="shared" si="4"/>
        <v>45622.833333333307</v>
      </c>
    </row>
    <row r="8" spans="1:16" x14ac:dyDescent="0.25">
      <c r="A8" s="482">
        <v>9257028</v>
      </c>
      <c r="B8" s="480" t="s">
        <v>305</v>
      </c>
      <c r="C8" s="510" t="s">
        <v>333</v>
      </c>
      <c r="D8" s="511">
        <v>614312</v>
      </c>
      <c r="E8" s="511">
        <v>161337</v>
      </c>
      <c r="F8" s="511"/>
      <c r="G8" s="517">
        <v>147</v>
      </c>
      <c r="I8" s="537">
        <f t="shared" si="1"/>
        <v>5276.5238095238092</v>
      </c>
      <c r="J8" s="537">
        <f>Summary!$B$11-I8</f>
        <v>94.678092556729098</v>
      </c>
      <c r="K8" s="537">
        <f t="shared" si="0"/>
        <v>13917.679605839177</v>
      </c>
      <c r="M8" s="537" t="s">
        <v>379</v>
      </c>
      <c r="N8" s="537">
        <f t="shared" si="2"/>
        <v>0</v>
      </c>
      <c r="O8" s="543" t="str">
        <f t="shared" si="3"/>
        <v>Yes</v>
      </c>
      <c r="P8" s="535">
        <f t="shared" si="4"/>
        <v>4962</v>
      </c>
    </row>
    <row r="9" spans="1:16" x14ac:dyDescent="0.25">
      <c r="A9" s="482">
        <v>9257034</v>
      </c>
      <c r="B9" s="480" t="s">
        <v>342</v>
      </c>
      <c r="C9" s="518" t="s">
        <v>343</v>
      </c>
      <c r="D9" s="511">
        <v>565224.5</v>
      </c>
      <c r="E9" s="511">
        <v>149645.5</v>
      </c>
      <c r="F9" s="511"/>
      <c r="G9" s="517">
        <v>155.08333333333337</v>
      </c>
      <c r="I9" s="537">
        <f t="shared" si="1"/>
        <v>4609.5862439548619</v>
      </c>
      <c r="J9" s="537">
        <f>Summary!$B$11-I9</f>
        <v>761.61565812567642</v>
      </c>
      <c r="K9" s="537">
        <f t="shared" si="0"/>
        <v>118113.89498099034</v>
      </c>
      <c r="M9" s="537" t="s">
        <v>379</v>
      </c>
      <c r="N9" s="537">
        <f t="shared" si="2"/>
        <v>0</v>
      </c>
      <c r="O9" s="543" t="str">
        <f t="shared" si="3"/>
        <v>No</v>
      </c>
      <c r="P9" s="535">
        <f t="shared" si="4"/>
        <v>0</v>
      </c>
    </row>
    <row r="10" spans="1:16" x14ac:dyDescent="0.25">
      <c r="A10" s="482">
        <v>9257010</v>
      </c>
      <c r="B10" s="480" t="s">
        <v>332</v>
      </c>
      <c r="C10" s="510" t="s">
        <v>333</v>
      </c>
      <c r="D10" s="511">
        <v>614312</v>
      </c>
      <c r="E10" s="511">
        <v>161337</v>
      </c>
      <c r="F10" s="511"/>
      <c r="G10" s="517">
        <v>156.83333333333334</v>
      </c>
      <c r="I10" s="537">
        <f t="shared" si="1"/>
        <v>4945.6896918172151</v>
      </c>
      <c r="J10" s="537">
        <f>Summary!$B$11-I10</f>
        <v>425.51221026332314</v>
      </c>
      <c r="K10" s="537">
        <f t="shared" si="0"/>
        <v>66734.498309631177</v>
      </c>
      <c r="M10" s="537" t="s">
        <v>379</v>
      </c>
      <c r="N10" s="537">
        <f t="shared" si="2"/>
        <v>0</v>
      </c>
      <c r="O10" s="543" t="str">
        <f t="shared" si="3"/>
        <v>No</v>
      </c>
      <c r="P10" s="535">
        <f t="shared" si="4"/>
        <v>0</v>
      </c>
    </row>
    <row r="11" spans="1:16" x14ac:dyDescent="0.25">
      <c r="A11" s="482">
        <v>9257016</v>
      </c>
      <c r="B11" s="480" t="s">
        <v>308</v>
      </c>
      <c r="C11" s="518" t="s">
        <v>349</v>
      </c>
      <c r="D11" s="511">
        <v>811683</v>
      </c>
      <c r="E11" s="511">
        <v>185974</v>
      </c>
      <c r="F11" s="511"/>
      <c r="G11" s="517">
        <v>171.33333333333334</v>
      </c>
      <c r="I11" s="537">
        <f t="shared" si="1"/>
        <v>5822.9007782101162</v>
      </c>
      <c r="J11" s="537">
        <f>Summary!$B$11-I11</f>
        <v>-451.69887612957791</v>
      </c>
      <c r="K11" s="537">
        <f t="shared" si="0"/>
        <v>-77391.074110201022</v>
      </c>
      <c r="M11" s="537" t="s">
        <v>379</v>
      </c>
      <c r="N11" s="537">
        <f t="shared" si="2"/>
        <v>0</v>
      </c>
      <c r="O11" s="543" t="str">
        <f t="shared" si="3"/>
        <v>No</v>
      </c>
      <c r="P11" s="535">
        <f t="shared" si="4"/>
        <v>0</v>
      </c>
    </row>
    <row r="12" spans="1:16" x14ac:dyDescent="0.25">
      <c r="A12" s="482">
        <v>9257021</v>
      </c>
      <c r="B12" s="480" t="s">
        <v>346</v>
      </c>
      <c r="C12" s="510" t="s">
        <v>343</v>
      </c>
      <c r="D12" s="511">
        <v>565224.5</v>
      </c>
      <c r="E12" s="511">
        <v>149645.5</v>
      </c>
      <c r="F12" s="511"/>
      <c r="G12" s="517">
        <v>180</v>
      </c>
      <c r="I12" s="537">
        <f t="shared" si="1"/>
        <v>3971.5</v>
      </c>
      <c r="J12" s="537">
        <f>Summary!$B$11-I12</f>
        <v>1399.7019020805383</v>
      </c>
      <c r="K12" s="537">
        <f t="shared" si="0"/>
        <v>251946.34237449689</v>
      </c>
      <c r="M12" s="537" t="s">
        <v>379</v>
      </c>
      <c r="N12" s="537">
        <f t="shared" si="2"/>
        <v>0</v>
      </c>
      <c r="O12" s="543" t="str">
        <f t="shared" si="3"/>
        <v>No</v>
      </c>
      <c r="P12" s="535">
        <f t="shared" si="4"/>
        <v>0</v>
      </c>
    </row>
    <row r="13" spans="1:16" x14ac:dyDescent="0.25">
      <c r="A13" s="482">
        <v>9257009</v>
      </c>
      <c r="B13" s="480" t="s">
        <v>301</v>
      </c>
      <c r="C13" s="518" t="s">
        <v>345</v>
      </c>
      <c r="D13" s="511">
        <v>718458</v>
      </c>
      <c r="E13" s="511">
        <v>173557</v>
      </c>
      <c r="F13" s="511">
        <v>389126</v>
      </c>
      <c r="G13" s="517">
        <v>229.75000000000003</v>
      </c>
      <c r="I13" s="537">
        <f t="shared" si="1"/>
        <v>5576.2393906420011</v>
      </c>
      <c r="J13" s="537">
        <f>Summary!$B$11-I13</f>
        <v>-205.03748856146285</v>
      </c>
      <c r="K13" s="537">
        <f t="shared" si="0"/>
        <v>-47107.362996996097</v>
      </c>
      <c r="M13" s="537" t="s">
        <v>380</v>
      </c>
      <c r="N13" s="537">
        <f t="shared" si="2"/>
        <v>82700</v>
      </c>
      <c r="O13" s="543" t="str">
        <f t="shared" si="3"/>
        <v>No</v>
      </c>
      <c r="P13" s="535">
        <f t="shared" si="4"/>
        <v>0</v>
      </c>
    </row>
    <row r="14" spans="1:16" x14ac:dyDescent="0.25">
      <c r="A14" s="482">
        <v>9257005</v>
      </c>
      <c r="B14" s="480" t="s">
        <v>198</v>
      </c>
      <c r="C14" s="510" t="s">
        <v>335</v>
      </c>
      <c r="D14" s="511">
        <v>765070.5</v>
      </c>
      <c r="E14" s="511">
        <v>179765.5</v>
      </c>
      <c r="F14" s="511">
        <v>381262</v>
      </c>
      <c r="G14" s="517">
        <v>257</v>
      </c>
      <c r="I14" s="537">
        <f t="shared" si="1"/>
        <v>5159.9143968871595</v>
      </c>
      <c r="J14" s="537">
        <f>Summary!$B$11-I14</f>
        <v>211.28750519337882</v>
      </c>
      <c r="K14" s="537">
        <f t="shared" si="0"/>
        <v>54300.888834698359</v>
      </c>
      <c r="M14" s="537" t="s">
        <v>380</v>
      </c>
      <c r="N14" s="537">
        <f t="shared" si="2"/>
        <v>82700</v>
      </c>
      <c r="O14" s="543" t="str">
        <f t="shared" si="3"/>
        <v>No</v>
      </c>
      <c r="P14" s="535">
        <f t="shared" si="4"/>
        <v>0</v>
      </c>
    </row>
    <row r="15" spans="1:16" x14ac:dyDescent="0.25">
      <c r="A15" s="482">
        <v>9257015</v>
      </c>
      <c r="B15" s="480" t="s">
        <v>307</v>
      </c>
      <c r="C15" s="518" t="s">
        <v>347</v>
      </c>
      <c r="D15" s="511">
        <v>906868</v>
      </c>
      <c r="E15" s="511">
        <v>199376.10852500008</v>
      </c>
      <c r="F15" s="511">
        <v>439861.89147499995</v>
      </c>
      <c r="G15" s="517">
        <v>325.91666666666669</v>
      </c>
      <c r="I15" s="537">
        <f t="shared" si="1"/>
        <v>4743.8690871899771</v>
      </c>
      <c r="J15" s="537">
        <f>Summary!$B$11-I15</f>
        <v>627.33281489056117</v>
      </c>
      <c r="K15" s="537">
        <f t="shared" si="0"/>
        <v>204458.21991974875</v>
      </c>
      <c r="M15" s="537" t="s">
        <v>380</v>
      </c>
      <c r="N15" s="537">
        <f t="shared" si="2"/>
        <v>82700</v>
      </c>
      <c r="O15" s="543" t="str">
        <f t="shared" si="3"/>
        <v>No</v>
      </c>
      <c r="P15" s="535">
        <f t="shared" si="4"/>
        <v>0</v>
      </c>
    </row>
    <row r="17" spans="1:13" x14ac:dyDescent="0.25">
      <c r="H17" s="534" t="s">
        <v>362</v>
      </c>
      <c r="I17" s="537">
        <f>AVERAGE(I4:I15)</f>
        <v>5241.0501762069762</v>
      </c>
      <c r="M17" s="537"/>
    </row>
    <row r="18" spans="1:13" x14ac:dyDescent="0.25">
      <c r="H18" s="534" t="s">
        <v>363</v>
      </c>
      <c r="I18" s="537">
        <f>MEDIAN(I4:I15)</f>
        <v>5309.8384874712301</v>
      </c>
      <c r="M18" s="537"/>
    </row>
    <row r="21" spans="1:13" ht="13" x14ac:dyDescent="0.3">
      <c r="A21" s="482">
        <v>9257032</v>
      </c>
      <c r="B21" s="526" t="s">
        <v>357</v>
      </c>
      <c r="C21" s="510" t="s">
        <v>339</v>
      </c>
      <c r="D21" s="511">
        <v>399637</v>
      </c>
      <c r="E21" s="511">
        <v>102930</v>
      </c>
      <c r="F21" s="511">
        <v>192636</v>
      </c>
      <c r="G21" s="517">
        <v>116.16666666666667</v>
      </c>
      <c r="H21" s="534" t="s">
        <v>364</v>
      </c>
      <c r="I21" s="537">
        <f>(D21+E21+F21)/G21</f>
        <v>5984.530846484935</v>
      </c>
    </row>
    <row r="22" spans="1:13" ht="13" x14ac:dyDescent="0.3">
      <c r="A22" s="482">
        <v>9257031</v>
      </c>
      <c r="B22" s="526" t="s">
        <v>356</v>
      </c>
      <c r="C22" s="510" t="s">
        <v>337</v>
      </c>
      <c r="D22" s="511">
        <v>434185</v>
      </c>
      <c r="E22" s="511">
        <v>102930</v>
      </c>
      <c r="F22" s="511"/>
      <c r="G22" s="517">
        <v>80.583333333333343</v>
      </c>
      <c r="I22" s="537">
        <f t="shared" ref="I22:I24" si="5">(D22+E22+F22)/G22</f>
        <v>6665.3360910031015</v>
      </c>
    </row>
    <row r="23" spans="1:13" ht="13" x14ac:dyDescent="0.3">
      <c r="A23" s="482">
        <v>9257029</v>
      </c>
      <c r="B23" s="526" t="s">
        <v>302</v>
      </c>
      <c r="C23" s="510" t="s">
        <v>337</v>
      </c>
      <c r="D23" s="511">
        <v>434185</v>
      </c>
      <c r="E23" s="511">
        <v>102930</v>
      </c>
      <c r="F23" s="511"/>
      <c r="G23" s="517">
        <v>82</v>
      </c>
      <c r="I23" s="537">
        <f t="shared" si="5"/>
        <v>6550.1829268292686</v>
      </c>
    </row>
    <row r="24" spans="1:13" ht="13" x14ac:dyDescent="0.3">
      <c r="A24" s="482">
        <v>9257030</v>
      </c>
      <c r="B24" s="526" t="s">
        <v>358</v>
      </c>
      <c r="C24" s="518" t="s">
        <v>337</v>
      </c>
      <c r="D24" s="511">
        <v>434185</v>
      </c>
      <c r="E24" s="511">
        <v>102930</v>
      </c>
      <c r="F24" s="511"/>
      <c r="G24" s="517">
        <v>81.25</v>
      </c>
      <c r="I24" s="537">
        <f t="shared" si="5"/>
        <v>6610.6461538461535</v>
      </c>
    </row>
    <row r="29" spans="1:13" x14ac:dyDescent="0.25">
      <c r="A29" s="540" t="s">
        <v>372</v>
      </c>
    </row>
    <row r="31" spans="1:13" x14ac:dyDescent="0.25">
      <c r="A31" s="534" t="s">
        <v>373</v>
      </c>
    </row>
    <row r="33" spans="1:8" x14ac:dyDescent="0.25">
      <c r="A33" s="535">
        <v>55100</v>
      </c>
      <c r="B33" s="534" t="s">
        <v>374</v>
      </c>
    </row>
    <row r="34" spans="1:8" x14ac:dyDescent="0.25">
      <c r="A34" s="535">
        <v>27600</v>
      </c>
      <c r="B34" s="534" t="s">
        <v>375</v>
      </c>
    </row>
    <row r="35" spans="1:8" x14ac:dyDescent="0.25">
      <c r="A35" s="535">
        <f>SUM(A33:A34)</f>
        <v>82700</v>
      </c>
    </row>
    <row r="38" spans="1:8" x14ac:dyDescent="0.25">
      <c r="A38" s="534" t="s">
        <v>383</v>
      </c>
    </row>
    <row r="39" spans="1:8" x14ac:dyDescent="0.25">
      <c r="E39" s="546"/>
    </row>
    <row r="40" spans="1:8" x14ac:dyDescent="0.25">
      <c r="A40" s="535">
        <f>A35</f>
        <v>82700</v>
      </c>
    </row>
    <row r="41" spans="1:8" x14ac:dyDescent="0.25">
      <c r="H41" s="545"/>
    </row>
  </sheetData>
  <sortState xmlns:xlrd2="http://schemas.microsoft.com/office/spreadsheetml/2017/richdata2" ref="A4:J15">
    <sortCondition ref="G4:G15"/>
  </sortState>
  <conditionalFormatting sqref="C4:C9 C11:C15 C21:C24">
    <cfRule type="cellIs" dxfId="1" priority="1" operator="equal">
      <formula>#REF!</formula>
    </cfRule>
    <cfRule type="cellIs" dxfId="0" priority="2" operator="equal">
      <formula>#REF!</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16" ma:contentTypeDescription="Create a new document." ma:contentTypeScope="" ma:versionID="2bdb6613f6d6149711129a2111a5bb62">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198afa1877d751a9a3ef0e2c12156a9f"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c9effd-76e4-4e94-b9b6-2836c4bb60de" xsi:nil="true"/>
    <lcf76f155ced4ddcb4097134ff3c332f xmlns="47ecd482-cba3-4a15-8a36-0d066dd3291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3DD447-06FF-4B7B-B1D4-F032291D7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CC93B5-EF1B-4744-85A0-185D2A56399C}">
  <ds:schemaRefs>
    <ds:schemaRef ds:uri="http://schemas.microsoft.com/office/2006/metadata/properties"/>
    <ds:schemaRef ds:uri="http://purl.org/dc/elements/1.1/"/>
    <ds:schemaRef ds:uri="http://purl.org/dc/terms/"/>
    <ds:schemaRef ds:uri="8dc9effd-76e4-4e94-b9b6-2836c4bb60d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47ecd482-cba3-4a15-8a36-0d066dd3291d"/>
    <ds:schemaRef ds:uri="http://purl.org/dc/dcmitype/"/>
  </ds:schemaRefs>
</ds:datastoreItem>
</file>

<file path=customXml/itemProps3.xml><?xml version="1.0" encoding="utf-8"?>
<ds:datastoreItem xmlns:ds="http://schemas.openxmlformats.org/officeDocument/2006/customXml" ds:itemID="{2106B0A4-9911-46A9-A4C5-644AB2DD2F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School Summary</vt:lpstr>
      <vt:lpstr>Sheet3</vt:lpstr>
      <vt:lpstr>2627 Funding Detail</vt:lpstr>
      <vt:lpstr>2627 Places &amp; Banding</vt:lpstr>
      <vt:lpstr>2627 Funding Detail 2</vt:lpstr>
      <vt:lpstr>2627 Summary</vt:lpstr>
      <vt:lpstr>2526 Funding Comparisons</vt:lpstr>
      <vt:lpstr>Summary</vt:lpstr>
      <vt:lpstr>Fixed Costs</vt:lpstr>
      <vt:lpstr>Combined- special</vt:lpstr>
      <vt:lpstr>2627 Band Values</vt:lpstr>
      <vt:lpstr>2526 Band Calculations (2)</vt:lpstr>
      <vt:lpstr>2526 Band Calculations</vt:lpstr>
      <vt:lpstr>Staff Pay Schedule</vt:lpstr>
      <vt:lpstr>2526 3.4% Allocations</vt:lpstr>
      <vt:lpstr>TA - over 5 years</vt:lpstr>
      <vt:lpstr>GLEA</vt:lpstr>
      <vt:lpstr>Leadership</vt:lpstr>
      <vt:lpstr>Teacher</vt:lpstr>
      <vt:lpstr>'2627 Summary'!acad</vt:lpstr>
      <vt:lpstr>acad</vt:lpstr>
      <vt:lpstr>'2627 Summary'!DFE</vt:lpstr>
      <vt:lpstr>DFE</vt:lpstr>
      <vt:lpstr>GLEA!Print_Area</vt:lpstr>
      <vt:lpstr>Leadership!Print_Area</vt:lpstr>
      <vt:lpstr>'TA - over 5 years'!Print_Area</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Popplewell</dc:creator>
  <cp:lastModifiedBy>Ke Zhang</cp:lastModifiedBy>
  <cp:lastPrinted>2026-05-15T12:49:17Z</cp:lastPrinted>
  <dcterms:created xsi:type="dcterms:W3CDTF">2026-02-15T22:01:29Z</dcterms:created>
  <dcterms:modified xsi:type="dcterms:W3CDTF">2026-08-03T08:44:59Z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y fmtid="{D5CDD505-2E9C-101B-9397-08002B2CF9AE}" pid="3" name="MediaServiceImageTags">
    <vt:lpwstr/>
  </property>
</Properties>
</file>