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F862" lockStructure="1"/>
  <bookViews>
    <workbookView xWindow="240" yWindow="795" windowWidth="19425" windowHeight="7275" tabRatio="822" firstSheet="15" activeTab="15"/>
  </bookViews>
  <sheets>
    <sheet name="Summary 201314" sheetId="4" state="hidden" r:id="rId1"/>
    <sheet name="Summary 201415" sheetId="1" state="hidden" r:id="rId2"/>
    <sheet name="Summary 201516" sheetId="5" state="hidden" r:id="rId3"/>
    <sheet name="LTLC Budget 201516" sheetId="6" state="hidden" r:id="rId4"/>
    <sheet name="Sol4 Budget 201516" sheetId="7" state="hidden" r:id="rId5"/>
    <sheet name="Solutions 4" sheetId="3" state="hidden" r:id="rId6"/>
    <sheet name="Summary 201617" sheetId="8" state="hidden" r:id="rId7"/>
    <sheet name="LTLC Budget 201617" sheetId="9" state="hidden" r:id="rId8"/>
    <sheet name="Sol4 Budget 201617 (Apr-Aug)" sheetId="13" state="hidden" r:id="rId9"/>
    <sheet name="Sol4 Budget 201617 (Sept-Mar)" sheetId="14" state="hidden" r:id="rId10"/>
    <sheet name="Sol4 201617" sheetId="12" state="hidden" r:id="rId11"/>
    <sheet name="LTLC Budget 201718" sheetId="15" state="hidden" r:id="rId12"/>
    <sheet name="Sol4 Budget 201718" sheetId="16" state="hidden" r:id="rId13"/>
    <sheet name="Summary 201718" sheetId="17" state="hidden" r:id="rId14"/>
    <sheet name="Sol4 201718" sheetId="18" state="hidden" r:id="rId15"/>
    <sheet name="Front Sheet" sheetId="20" r:id="rId16"/>
    <sheet name="ISB Weightings" sheetId="21" r:id="rId17"/>
    <sheet name="Budget Shares" sheetId="19" r:id="rId18"/>
    <sheet name="1819 DSG 1718 Underspend" sheetId="22" state="hidden" r:id="rId19"/>
  </sheets>
  <externalReferences>
    <externalReference r:id="rId20"/>
    <externalReference r:id="rId21"/>
  </externalReferences>
  <definedNames>
    <definedName name="a">[1]Detailed_Output!$A$4:$U$230</definedName>
    <definedName name="d">#REF!</definedName>
    <definedName name="DATA1" localSheetId="4">#REF!</definedName>
    <definedName name="DATA1" localSheetId="8">#REF!</definedName>
    <definedName name="DATA1" localSheetId="9">#REF!</definedName>
    <definedName name="DATA1" localSheetId="2">#REF!</definedName>
    <definedName name="DATA1">#REF!</definedName>
    <definedName name="DATA10" localSheetId="4">#REF!</definedName>
    <definedName name="DATA10" localSheetId="8">#REF!</definedName>
    <definedName name="DATA10" localSheetId="9">#REF!</definedName>
    <definedName name="DATA10" localSheetId="5">#REF!</definedName>
    <definedName name="DATA10" localSheetId="0">#REF!</definedName>
    <definedName name="DATA10" localSheetId="1">#REF!</definedName>
    <definedName name="DATA10" localSheetId="2">#REF!</definedName>
    <definedName name="DATA10">#REF!</definedName>
    <definedName name="DATA11" localSheetId="4">#REF!</definedName>
    <definedName name="DATA11" localSheetId="8">#REF!</definedName>
    <definedName name="DATA11" localSheetId="9">#REF!</definedName>
    <definedName name="DATA11" localSheetId="2">#REF!</definedName>
    <definedName name="DATA11">#REF!</definedName>
    <definedName name="DATA12" localSheetId="4">#REF!</definedName>
    <definedName name="DATA12" localSheetId="8">#REF!</definedName>
    <definedName name="DATA12" localSheetId="9">#REF!</definedName>
    <definedName name="DATA12" localSheetId="2">#REF!</definedName>
    <definedName name="DATA12">#REF!</definedName>
    <definedName name="DATA13" localSheetId="4">#REF!</definedName>
    <definedName name="DATA13" localSheetId="8">#REF!</definedName>
    <definedName name="DATA13" localSheetId="9">#REF!</definedName>
    <definedName name="DATA13" localSheetId="5">#REF!</definedName>
    <definedName name="DATA13" localSheetId="0">#REF!</definedName>
    <definedName name="DATA13" localSheetId="1">#REF!</definedName>
    <definedName name="DATA13" localSheetId="2">#REF!</definedName>
    <definedName name="DATA13">#REF!</definedName>
    <definedName name="DATA2" localSheetId="4">#REF!</definedName>
    <definedName name="DATA2" localSheetId="8">#REF!</definedName>
    <definedName name="DATA2" localSheetId="9">#REF!</definedName>
    <definedName name="DATA2" localSheetId="2">#REF!</definedName>
    <definedName name="DATA2">#REF!</definedName>
    <definedName name="DATA3" localSheetId="4">#REF!</definedName>
    <definedName name="DATA3" localSheetId="8">#REF!</definedName>
    <definedName name="DATA3" localSheetId="9">#REF!</definedName>
    <definedName name="DATA3" localSheetId="2">#REF!</definedName>
    <definedName name="DATA3">#REF!</definedName>
    <definedName name="DATA4" localSheetId="4">#REF!</definedName>
    <definedName name="DATA4" localSheetId="8">#REF!</definedName>
    <definedName name="DATA4" localSheetId="9">#REF!</definedName>
    <definedName name="DATA4" localSheetId="2">#REF!</definedName>
    <definedName name="DATA4">#REF!</definedName>
    <definedName name="DATA5" localSheetId="4">#REF!</definedName>
    <definedName name="DATA5" localSheetId="8">#REF!</definedName>
    <definedName name="DATA5" localSheetId="9">#REF!</definedName>
    <definedName name="DATA5" localSheetId="2">#REF!</definedName>
    <definedName name="DATA5">#REF!</definedName>
    <definedName name="DATA6" localSheetId="4">#REF!</definedName>
    <definedName name="DATA6" localSheetId="8">#REF!</definedName>
    <definedName name="DATA6" localSheetId="9">#REF!</definedName>
    <definedName name="DATA6" localSheetId="2">#REF!</definedName>
    <definedName name="DATA6">#REF!</definedName>
    <definedName name="DATA7" localSheetId="4">#REF!</definedName>
    <definedName name="DATA7" localSheetId="8">#REF!</definedName>
    <definedName name="DATA7" localSheetId="9">#REF!</definedName>
    <definedName name="DATA7" localSheetId="2">#REF!</definedName>
    <definedName name="DATA7">#REF!</definedName>
    <definedName name="DATA8" localSheetId="4">#REF!</definedName>
    <definedName name="DATA8" localSheetId="8">#REF!</definedName>
    <definedName name="DATA8" localSheetId="9">#REF!</definedName>
    <definedName name="DATA8" localSheetId="2">#REF!</definedName>
    <definedName name="DATA8">#REF!</definedName>
    <definedName name="DATA9" localSheetId="4">#REF!</definedName>
    <definedName name="DATA9" localSheetId="8">#REF!</definedName>
    <definedName name="DATA9" localSheetId="9">#REF!</definedName>
    <definedName name="DATA9" localSheetId="5">#REF!</definedName>
    <definedName name="DATA9" localSheetId="0">#REF!</definedName>
    <definedName name="DATA9" localSheetId="1">#REF!</definedName>
    <definedName name="DATA9" localSheetId="2">#REF!</definedName>
    <definedName name="DATA9">#REF!</definedName>
    <definedName name="_xlnm.Print_Area" localSheetId="17">'Budget Shares'!$A$1:$N$75</definedName>
    <definedName name="_xlnm.Print_Area" localSheetId="4">'Sol4 Budget 201516'!$A$1:$H$101</definedName>
    <definedName name="_xlnm.Print_Area" localSheetId="8">'Sol4 Budget 201617 (Apr-Aug)'!$A$1:$H$110</definedName>
    <definedName name="_xlnm.Print_Area" localSheetId="9">'Sol4 Budget 201617 (Sept-Mar)'!$A$1:$H$63</definedName>
    <definedName name="_xlnm.Print_Area" localSheetId="5">'Solutions 4'!$A$1:$J$97</definedName>
    <definedName name="_xlnm.Print_Area" localSheetId="0">'Summary 201314'!$A$1:$H$72</definedName>
    <definedName name="_xlnm.Print_Area" localSheetId="1">'Summary 201415'!$A$1:$I$68</definedName>
    <definedName name="_xlnm.Print_Area" localSheetId="2">'Summary 201516'!$A$1:$H$63</definedName>
    <definedName name="PYEAR">'[2]Basic Information'!$G$14</definedName>
    <definedName name="qry_nor_list_a3_and_a4_cohorts_joined" localSheetId="4">#REF!</definedName>
    <definedName name="qry_nor_list_a3_and_a4_cohorts_joined" localSheetId="8">#REF!</definedName>
    <definedName name="qry_nor_list_a3_and_a4_cohorts_joined" localSheetId="9">#REF!</definedName>
    <definedName name="qry_nor_list_a3_and_a4_cohorts_joined" localSheetId="2">#REF!</definedName>
    <definedName name="qry_nor_list_a3_and_a4_cohorts_joined">#REF!</definedName>
    <definedName name="Query2" localSheetId="4">#REF!</definedName>
    <definedName name="Query2" localSheetId="8">#REF!</definedName>
    <definedName name="Query2" localSheetId="9">#REF!</definedName>
    <definedName name="Query2" localSheetId="2">#REF!</definedName>
    <definedName name="Query2">#REF!</definedName>
    <definedName name="Query3" localSheetId="4">#REF!</definedName>
    <definedName name="Query3" localSheetId="8">#REF!</definedName>
    <definedName name="Query3" localSheetId="9">#REF!</definedName>
    <definedName name="Query3" localSheetId="2">#REF!</definedName>
    <definedName name="Query3">#REF!</definedName>
    <definedName name="Query4" localSheetId="4">#REF!</definedName>
    <definedName name="Query4" localSheetId="8">#REF!</definedName>
    <definedName name="Query4" localSheetId="9">#REF!</definedName>
    <definedName name="Query4" localSheetId="2">#REF!</definedName>
    <definedName name="Query4">#REF!</definedName>
    <definedName name="SALARY">#N/A</definedName>
    <definedName name="Test">#REF!</definedName>
    <definedName name="TEST1" localSheetId="4">#REF!</definedName>
    <definedName name="TEST1" localSheetId="8">#REF!</definedName>
    <definedName name="TEST1" localSheetId="9">#REF!</definedName>
    <definedName name="TEST1" localSheetId="2">#REF!</definedName>
    <definedName name="TEST1">#REF!</definedName>
    <definedName name="TESTHKEY" localSheetId="4">#REF!</definedName>
    <definedName name="TESTHKEY" localSheetId="8">#REF!</definedName>
    <definedName name="TESTHKEY" localSheetId="9">#REF!</definedName>
    <definedName name="TESTHKEY" localSheetId="2">#REF!</definedName>
    <definedName name="TESTHKEY">#REF!</definedName>
    <definedName name="TESTKEYS" localSheetId="4">#REF!</definedName>
    <definedName name="TESTKEYS" localSheetId="8">#REF!</definedName>
    <definedName name="TESTKEYS" localSheetId="9">#REF!</definedName>
    <definedName name="TESTKEYS" localSheetId="2">#REF!</definedName>
    <definedName name="TESTKEYS">#REF!</definedName>
    <definedName name="TESTVKEY" localSheetId="4">#REF!</definedName>
    <definedName name="TESTVKEY" localSheetId="8">#REF!</definedName>
    <definedName name="TESTVKEY" localSheetId="9">#REF!</definedName>
    <definedName name="TESTVKEY" localSheetId="2">#REF!</definedName>
    <definedName name="TESTVKEY">#REF!</definedName>
    <definedName name="YEAR1">'[2]Basic Information'!$G$8</definedName>
    <definedName name="YEAR2">'[2]Basic Information'!$G$10</definedName>
    <definedName name="YEAR3">'[2]Basic Information'!$G$11</definedName>
    <definedName name="YEAR4">'[2]Basic Information'!$G$12</definedName>
    <definedName name="YEAR5">'[2]Basic Information'!$G$13</definedName>
  </definedNames>
  <calcPr calcId="145621"/>
</workbook>
</file>

<file path=xl/calcChain.xml><?xml version="1.0" encoding="utf-8"?>
<calcChain xmlns="http://schemas.openxmlformats.org/spreadsheetml/2006/main">
  <c r="F45" i="19" l="1"/>
  <c r="F42" i="19"/>
  <c r="F43" i="19"/>
  <c r="F44" i="19"/>
  <c r="F41" i="19"/>
  <c r="C42" i="19" l="1"/>
  <c r="C43" i="19"/>
  <c r="C44" i="19"/>
  <c r="C33" i="19"/>
  <c r="C34" i="19"/>
  <c r="C35" i="19"/>
  <c r="C23" i="19"/>
  <c r="C24" i="19"/>
  <c r="C25" i="19"/>
  <c r="C32" i="19" l="1"/>
  <c r="D32" i="19" l="1"/>
  <c r="D35" i="19"/>
  <c r="D34" i="19"/>
  <c r="D33" i="19"/>
  <c r="C41" i="19"/>
  <c r="C47" i="19" s="1"/>
  <c r="D42" i="19" l="1"/>
  <c r="D43" i="19"/>
  <c r="D44" i="19"/>
  <c r="B36" i="19"/>
  <c r="D41" i="19"/>
  <c r="B45" i="19"/>
  <c r="B26" i="19"/>
  <c r="D45" i="19" l="1"/>
  <c r="I36" i="22"/>
  <c r="I41" i="22"/>
  <c r="H36" i="22"/>
  <c r="H41" i="22"/>
  <c r="I43" i="22"/>
  <c r="I45" i="22"/>
  <c r="I49" i="22"/>
  <c r="I51" i="22"/>
  <c r="I53" i="22"/>
  <c r="J18" i="22"/>
  <c r="J19" i="22"/>
  <c r="J20" i="22"/>
  <c r="J21" i="22"/>
  <c r="J22" i="22"/>
  <c r="J23" i="22"/>
  <c r="J24" i="22"/>
  <c r="J25" i="22"/>
  <c r="J26" i="22"/>
  <c r="J27" i="22"/>
  <c r="J28" i="22"/>
  <c r="J29" i="22"/>
  <c r="J30" i="22"/>
  <c r="J31" i="22"/>
  <c r="J32" i="22"/>
  <c r="J33" i="22"/>
  <c r="J34" i="22"/>
  <c r="J35" i="22"/>
  <c r="J36" i="22"/>
  <c r="J38" i="22"/>
  <c r="J39" i="22"/>
  <c r="J40" i="22"/>
  <c r="J41" i="22"/>
  <c r="K41" i="22"/>
  <c r="N41" i="22"/>
  <c r="K40" i="22"/>
  <c r="K39" i="22"/>
  <c r="K38" i="22"/>
  <c r="K18" i="22"/>
  <c r="K19" i="22"/>
  <c r="K20" i="22"/>
  <c r="K21" i="22"/>
  <c r="K22" i="22"/>
  <c r="K23" i="22"/>
  <c r="K24" i="22"/>
  <c r="K25" i="22"/>
  <c r="K26" i="22"/>
  <c r="K27" i="22"/>
  <c r="K28" i="22"/>
  <c r="K29" i="22"/>
  <c r="K30" i="22"/>
  <c r="K31" i="22"/>
  <c r="K32" i="22"/>
  <c r="K33" i="22"/>
  <c r="K34" i="22"/>
  <c r="K35" i="22"/>
  <c r="K36" i="22"/>
  <c r="C29" i="22"/>
  <c r="C32" i="22"/>
  <c r="D4" i="22"/>
  <c r="D5" i="22"/>
  <c r="D6" i="22"/>
  <c r="D7" i="22"/>
  <c r="D8" i="22"/>
  <c r="D9" i="22"/>
  <c r="D10" i="22"/>
  <c r="D11" i="22"/>
  <c r="D12" i="22"/>
  <c r="D13" i="22"/>
  <c r="D14" i="22"/>
  <c r="D15" i="22"/>
  <c r="D17" i="22"/>
  <c r="D18" i="22"/>
  <c r="D19" i="22"/>
  <c r="D20" i="22"/>
  <c r="D22" i="22"/>
  <c r="D23" i="22"/>
  <c r="D25" i="22"/>
  <c r="D26" i="22"/>
  <c r="D27" i="22"/>
  <c r="D29" i="22"/>
  <c r="J4" i="22"/>
  <c r="J5" i="22"/>
  <c r="J6" i="22"/>
  <c r="J7" i="22"/>
  <c r="J8" i="22"/>
  <c r="H8" i="22"/>
  <c r="L14" i="22"/>
  <c r="K4" i="22"/>
  <c r="L4" i="22"/>
  <c r="K5" i="22"/>
  <c r="L5" i="22"/>
  <c r="K6" i="22"/>
  <c r="L6" i="22"/>
  <c r="K7" i="22"/>
  <c r="L7" i="22"/>
  <c r="L8" i="22"/>
  <c r="K8" i="22"/>
  <c r="C22" i="19"/>
  <c r="D31" i="19"/>
  <c r="C31" i="19"/>
  <c r="B10" i="19"/>
  <c r="D20" i="17"/>
  <c r="D23" i="16"/>
  <c r="D24" i="16"/>
  <c r="E29" i="16"/>
  <c r="D29" i="16"/>
  <c r="B29" i="16"/>
  <c r="B27" i="16"/>
  <c r="D30" i="16"/>
  <c r="B10" i="16"/>
  <c r="B55" i="15"/>
  <c r="E53" i="15"/>
  <c r="E52" i="15"/>
  <c r="E51" i="15"/>
  <c r="E50" i="15"/>
  <c r="D53" i="15"/>
  <c r="D52" i="15"/>
  <c r="D51" i="15"/>
  <c r="D50" i="15"/>
  <c r="B52" i="15"/>
  <c r="B51" i="15"/>
  <c r="B50" i="15"/>
  <c r="D45" i="15"/>
  <c r="B46" i="15"/>
  <c r="B47" i="15"/>
  <c r="B45" i="15"/>
  <c r="B39" i="15"/>
  <c r="B38" i="15"/>
  <c r="B35" i="15"/>
  <c r="B34" i="15"/>
  <c r="A35" i="15"/>
  <c r="A39" i="15"/>
  <c r="A34" i="15"/>
  <c r="A38" i="15"/>
  <c r="I16" i="15"/>
  <c r="I15" i="15"/>
  <c r="I14" i="15"/>
  <c r="I13" i="15"/>
  <c r="I12" i="15"/>
  <c r="I11" i="15"/>
  <c r="I10" i="15"/>
  <c r="I9" i="15"/>
  <c r="I8" i="15"/>
  <c r="I7" i="15"/>
  <c r="I6" i="15"/>
  <c r="I5" i="15"/>
  <c r="I4" i="15"/>
  <c r="G12" i="15"/>
  <c r="G11" i="15"/>
  <c r="G10" i="15"/>
  <c r="G9" i="15"/>
  <c r="G8" i="15"/>
  <c r="G7" i="15"/>
  <c r="G6" i="15"/>
  <c r="G5" i="15"/>
  <c r="G4" i="15"/>
  <c r="J33" i="18"/>
  <c r="G31" i="18"/>
  <c r="B35" i="18"/>
  <c r="F35" i="18"/>
  <c r="D30" i="18"/>
  <c r="J30" i="18"/>
  <c r="D29" i="18"/>
  <c r="J29" i="18"/>
  <c r="G18" i="18"/>
  <c r="F18" i="18"/>
  <c r="E18" i="18"/>
  <c r="H15" i="18"/>
  <c r="H14" i="18"/>
  <c r="H13" i="18"/>
  <c r="H12" i="18"/>
  <c r="H11" i="18"/>
  <c r="H10" i="18"/>
  <c r="H9" i="18"/>
  <c r="G7" i="18"/>
  <c r="F7" i="18"/>
  <c r="E7" i="18"/>
  <c r="H6" i="18"/>
  <c r="H5" i="18"/>
  <c r="G4" i="18"/>
  <c r="F4" i="18"/>
  <c r="E4" i="18"/>
  <c r="E45" i="17"/>
  <c r="F45" i="17"/>
  <c r="E39" i="15"/>
  <c r="E44" i="17"/>
  <c r="F44" i="17"/>
  <c r="E28" i="17"/>
  <c r="C31" i="17"/>
  <c r="B26" i="17"/>
  <c r="B5" i="15"/>
  <c r="B25" i="17"/>
  <c r="B4" i="15"/>
  <c r="B28" i="17"/>
  <c r="B7" i="15"/>
  <c r="G13" i="17"/>
  <c r="E60" i="15"/>
  <c r="E45" i="15"/>
  <c r="I23" i="15"/>
  <c r="H4" i="18"/>
  <c r="B13" i="15"/>
  <c r="H18" i="18"/>
  <c r="D38" i="15"/>
  <c r="H7" i="18"/>
  <c r="D39" i="15"/>
  <c r="F46" i="17"/>
  <c r="E40" i="15"/>
  <c r="B12" i="15"/>
  <c r="E38" i="15"/>
  <c r="D31" i="16"/>
  <c r="E30" i="16"/>
  <c r="E31" i="16"/>
  <c r="E23" i="16"/>
  <c r="E24" i="16"/>
  <c r="I3" i="15"/>
  <c r="G3" i="15"/>
  <c r="F38" i="18"/>
  <c r="F54" i="18"/>
  <c r="F37" i="18"/>
  <c r="F29" i="18"/>
  <c r="H29" i="18"/>
  <c r="F30" i="18"/>
  <c r="H30" i="18"/>
  <c r="C32" i="17"/>
  <c r="C33" i="17"/>
  <c r="E46" i="17"/>
  <c r="D40" i="15"/>
  <c r="E29" i="17"/>
  <c r="B27" i="14"/>
  <c r="D30" i="14"/>
  <c r="D23" i="14"/>
  <c r="D24" i="14"/>
  <c r="B10" i="14"/>
  <c r="E29" i="14"/>
  <c r="D29" i="14"/>
  <c r="B29" i="14"/>
  <c r="H20" i="18"/>
  <c r="H24" i="18"/>
  <c r="J28" i="18"/>
  <c r="J31" i="18"/>
  <c r="E34" i="16"/>
  <c r="H31" i="18"/>
  <c r="J24" i="18"/>
  <c r="F39" i="18"/>
  <c r="E30" i="14"/>
  <c r="E31" i="14"/>
  <c r="D31" i="14"/>
  <c r="E23" i="14"/>
  <c r="E24" i="14"/>
  <c r="B42" i="18"/>
  <c r="H42" i="18"/>
  <c r="N31" i="18"/>
  <c r="J34" i="18"/>
  <c r="F48" i="18"/>
  <c r="E34" i="14"/>
  <c r="B44" i="18"/>
  <c r="F50" i="18"/>
  <c r="F52" i="18"/>
  <c r="F56" i="18"/>
  <c r="F58" i="18"/>
  <c r="F60" i="18"/>
  <c r="B47" i="13"/>
  <c r="D40" i="13"/>
  <c r="G31" i="12"/>
  <c r="B35" i="12"/>
  <c r="F35" i="12"/>
  <c r="F38" i="12"/>
  <c r="F54" i="12"/>
  <c r="B18" i="13"/>
  <c r="B5" i="13"/>
  <c r="E46" i="13"/>
  <c r="D46" i="13"/>
  <c r="B46" i="13"/>
  <c r="J33" i="12"/>
  <c r="D30" i="12"/>
  <c r="B22" i="13"/>
  <c r="D29" i="12"/>
  <c r="G18" i="12"/>
  <c r="F18" i="12"/>
  <c r="E18" i="12"/>
  <c r="H15" i="12"/>
  <c r="H14" i="12"/>
  <c r="H13" i="12"/>
  <c r="H12" i="12"/>
  <c r="H11" i="12"/>
  <c r="H10" i="12"/>
  <c r="H9" i="12"/>
  <c r="G7" i="12"/>
  <c r="F7" i="12"/>
  <c r="E7" i="12"/>
  <c r="H6" i="12"/>
  <c r="H5" i="12"/>
  <c r="G4" i="12"/>
  <c r="F4" i="12"/>
  <c r="E4" i="12"/>
  <c r="H4" i="12"/>
  <c r="H7" i="12"/>
  <c r="B21" i="13"/>
  <c r="J29" i="12"/>
  <c r="F37" i="12"/>
  <c r="H18" i="12"/>
  <c r="F29" i="12"/>
  <c r="H29" i="12"/>
  <c r="F30" i="12"/>
  <c r="H30" i="12"/>
  <c r="B10" i="13"/>
  <c r="J30" i="12"/>
  <c r="D41" i="13"/>
  <c r="H20" i="12"/>
  <c r="H24" i="12"/>
  <c r="J28" i="12"/>
  <c r="J31" i="12"/>
  <c r="B9" i="13"/>
  <c r="H31" i="12"/>
  <c r="E40" i="13"/>
  <c r="E41" i="13"/>
  <c r="F39" i="12"/>
  <c r="J24" i="12"/>
  <c r="B42" i="12"/>
  <c r="H42" i="12"/>
  <c r="J34" i="12"/>
  <c r="F48" i="12"/>
  <c r="N31" i="12"/>
  <c r="B24" i="13"/>
  <c r="D47" i="13"/>
  <c r="D49" i="13"/>
  <c r="B44" i="13"/>
  <c r="E47" i="13"/>
  <c r="E49" i="13"/>
  <c r="E52" i="13"/>
  <c r="B44" i="12"/>
  <c r="F50" i="12"/>
  <c r="F52" i="12"/>
  <c r="F56" i="12"/>
  <c r="F58" i="12"/>
  <c r="F60" i="12"/>
  <c r="B26" i="9"/>
  <c r="B25" i="9"/>
  <c r="E64" i="9"/>
  <c r="E63" i="9"/>
  <c r="E45" i="8"/>
  <c r="F45" i="8"/>
  <c r="E44" i="8"/>
  <c r="F44" i="8"/>
  <c r="D20" i="8"/>
  <c r="B60" i="9"/>
  <c r="E58" i="9"/>
  <c r="D58" i="9"/>
  <c r="E57" i="9"/>
  <c r="E56" i="9"/>
  <c r="D57" i="9"/>
  <c r="D56" i="9"/>
  <c r="B57" i="9"/>
  <c r="B56" i="9"/>
  <c r="B52" i="9"/>
  <c r="B51" i="9"/>
  <c r="E44" i="9"/>
  <c r="E43" i="9"/>
  <c r="D44" i="9"/>
  <c r="D43" i="9"/>
  <c r="B44" i="9"/>
  <c r="B43" i="9"/>
  <c r="B40" i="9"/>
  <c r="B39" i="9"/>
  <c r="A40" i="9"/>
  <c r="A44" i="9"/>
  <c r="A39" i="9"/>
  <c r="A43" i="9"/>
  <c r="E65" i="9"/>
  <c r="E50" i="9"/>
  <c r="D50" i="9"/>
  <c r="B50" i="9"/>
  <c r="I23" i="9"/>
  <c r="B27" i="9"/>
  <c r="I16" i="9"/>
  <c r="I15" i="9"/>
  <c r="I14" i="9"/>
  <c r="I13" i="9"/>
  <c r="I12" i="9"/>
  <c r="G12" i="9"/>
  <c r="I11" i="9"/>
  <c r="G11" i="9"/>
  <c r="I10" i="9"/>
  <c r="G10" i="9"/>
  <c r="I9" i="9"/>
  <c r="G9" i="9"/>
  <c r="I8" i="9"/>
  <c r="G8" i="9"/>
  <c r="I7" i="9"/>
  <c r="G7" i="9"/>
  <c r="I6" i="9"/>
  <c r="G6" i="9"/>
  <c r="I5" i="9"/>
  <c r="G5" i="9"/>
  <c r="I4" i="9"/>
  <c r="G4" i="9"/>
  <c r="E28" i="8"/>
  <c r="C31" i="8"/>
  <c r="B28" i="8"/>
  <c r="B7" i="9"/>
  <c r="B26" i="8"/>
  <c r="B5" i="9"/>
  <c r="B25" i="8"/>
  <c r="B4" i="9"/>
  <c r="G13" i="8"/>
  <c r="E29" i="8"/>
  <c r="B13" i="9"/>
  <c r="B12" i="9"/>
  <c r="G3" i="9"/>
  <c r="I3" i="9"/>
  <c r="F46" i="8"/>
  <c r="E45" i="9"/>
  <c r="C32" i="8"/>
  <c r="C33" i="8"/>
  <c r="E46" i="8"/>
  <c r="D45" i="9"/>
  <c r="D56" i="6"/>
  <c r="D57" i="6"/>
  <c r="E59" i="5"/>
  <c r="D58" i="6"/>
  <c r="D58" i="5"/>
  <c r="B57" i="6"/>
  <c r="D57" i="5"/>
  <c r="B56" i="6"/>
  <c r="E56" i="5"/>
  <c r="D55" i="9"/>
  <c r="F56" i="5"/>
  <c r="E55" i="9"/>
  <c r="D56" i="5"/>
  <c r="B55" i="9"/>
  <c r="F57" i="5"/>
  <c r="B55" i="6"/>
  <c r="F58" i="5"/>
  <c r="E57" i="6"/>
  <c r="E55" i="6"/>
  <c r="D55" i="6"/>
  <c r="B19" i="7"/>
  <c r="B9" i="7"/>
  <c r="F59" i="5"/>
  <c r="E58" i="6"/>
  <c r="E56" i="6"/>
  <c r="B43" i="7"/>
  <c r="B42" i="7"/>
  <c r="A130" i="3"/>
  <c r="A134" i="3"/>
  <c r="A129" i="3"/>
  <c r="A133" i="3"/>
  <c r="C134" i="3"/>
  <c r="E134" i="3"/>
  <c r="C133" i="3"/>
  <c r="B8" i="7"/>
  <c r="B5" i="7"/>
  <c r="B47" i="7"/>
  <c r="E41" i="7"/>
  <c r="D41" i="7"/>
  <c r="B41" i="7"/>
  <c r="B30" i="7"/>
  <c r="D34" i="7"/>
  <c r="E34" i="7"/>
  <c r="A30" i="7"/>
  <c r="A34" i="7"/>
  <c r="B29" i="7"/>
  <c r="D33" i="7"/>
  <c r="E33" i="7"/>
  <c r="A29" i="7"/>
  <c r="A33" i="7"/>
  <c r="E63" i="6"/>
  <c r="E65" i="6"/>
  <c r="B60" i="6"/>
  <c r="D50" i="6"/>
  <c r="E50" i="6"/>
  <c r="B51" i="6"/>
  <c r="B52" i="6"/>
  <c r="B50" i="6"/>
  <c r="B43" i="6"/>
  <c r="B42" i="6"/>
  <c r="B39" i="6"/>
  <c r="A39" i="6"/>
  <c r="A43" i="6"/>
  <c r="B38" i="6"/>
  <c r="A38" i="6"/>
  <c r="A42" i="6"/>
  <c r="I25" i="6"/>
  <c r="B21" i="6"/>
  <c r="B23" i="6"/>
  <c r="D35" i="7"/>
  <c r="E35" i="7"/>
  <c r="C135" i="3"/>
  <c r="E133" i="3"/>
  <c r="E135" i="3"/>
  <c r="I16" i="6"/>
  <c r="G5" i="6"/>
  <c r="E45" i="5"/>
  <c r="D43" i="6"/>
  <c r="E44" i="5"/>
  <c r="D42" i="6"/>
  <c r="E28" i="5"/>
  <c r="C31" i="5"/>
  <c r="B28" i="5"/>
  <c r="B7" i="6"/>
  <c r="I15" i="6"/>
  <c r="I14" i="6"/>
  <c r="I13" i="6"/>
  <c r="I12" i="6"/>
  <c r="G12" i="6"/>
  <c r="I11" i="6"/>
  <c r="G11" i="6"/>
  <c r="G13" i="5"/>
  <c r="I10" i="6"/>
  <c r="G10" i="6"/>
  <c r="I9" i="6"/>
  <c r="G9" i="6"/>
  <c r="I8" i="6"/>
  <c r="G8" i="6"/>
  <c r="I7" i="6"/>
  <c r="G7" i="6"/>
  <c r="I6" i="6"/>
  <c r="G6" i="6"/>
  <c r="I5" i="6"/>
  <c r="G4" i="6"/>
  <c r="C32" i="5"/>
  <c r="C33" i="5"/>
  <c r="F45" i="5"/>
  <c r="E43" i="6"/>
  <c r="E29" i="5"/>
  <c r="B12" i="6"/>
  <c r="B13" i="6"/>
  <c r="F44" i="5"/>
  <c r="E46" i="5"/>
  <c r="D44" i="6"/>
  <c r="G3" i="6"/>
  <c r="B16" i="6"/>
  <c r="G15" i="8"/>
  <c r="B27" i="5"/>
  <c r="B6" i="6"/>
  <c r="B26" i="5"/>
  <c r="B5" i="6"/>
  <c r="I4" i="6"/>
  <c r="I3" i="6"/>
  <c r="B25" i="5"/>
  <c r="B4" i="6"/>
  <c r="E42" i="6"/>
  <c r="F46" i="5"/>
  <c r="E44" i="6"/>
  <c r="B8" i="6"/>
  <c r="B16" i="9"/>
  <c r="G15" i="17"/>
  <c r="B27" i="8"/>
  <c r="E68" i="6"/>
  <c r="E69" i="6"/>
  <c r="B26" i="6"/>
  <c r="B27" i="6"/>
  <c r="B29" i="5"/>
  <c r="B37" i="5"/>
  <c r="C37" i="5"/>
  <c r="F37" i="5"/>
  <c r="B29" i="6"/>
  <c r="B6" i="9"/>
  <c r="B29" i="8"/>
  <c r="G37" i="5"/>
  <c r="D37" i="5"/>
  <c r="B38" i="5"/>
  <c r="C38" i="5"/>
  <c r="B37" i="8"/>
  <c r="B38" i="8"/>
  <c r="C38" i="8"/>
  <c r="B8" i="9"/>
  <c r="B29" i="9"/>
  <c r="B20" i="9"/>
  <c r="B22" i="9"/>
  <c r="D38" i="5"/>
  <c r="E53" i="5"/>
  <c r="F38" i="5"/>
  <c r="G38" i="5"/>
  <c r="H38" i="5"/>
  <c r="B39" i="5"/>
  <c r="D38" i="8"/>
  <c r="F38" i="8"/>
  <c r="G38" i="8"/>
  <c r="C37" i="8"/>
  <c r="B39" i="8"/>
  <c r="E38" i="5"/>
  <c r="C49" i="5"/>
  <c r="F53" i="5"/>
  <c r="E52" i="6"/>
  <c r="D52" i="6"/>
  <c r="E52" i="5"/>
  <c r="E37" i="5"/>
  <c r="H105" i="3"/>
  <c r="B122" i="3"/>
  <c r="H115" i="3"/>
  <c r="C114" i="3"/>
  <c r="H118" i="3"/>
  <c r="H103" i="3"/>
  <c r="D55" i="1"/>
  <c r="B93" i="3"/>
  <c r="H114" i="3"/>
  <c r="F37" i="8"/>
  <c r="D37" i="8"/>
  <c r="C39" i="8"/>
  <c r="C41" i="8"/>
  <c r="E53" i="8"/>
  <c r="E38" i="8"/>
  <c r="C49" i="8"/>
  <c r="B48" i="6"/>
  <c r="B47" i="6"/>
  <c r="C48" i="5"/>
  <c r="D51" i="6"/>
  <c r="F52" i="5"/>
  <c r="E51" i="6"/>
  <c r="E54" i="5"/>
  <c r="D53" i="6"/>
  <c r="H76" i="3"/>
  <c r="E52" i="8"/>
  <c r="E37" i="8"/>
  <c r="D39" i="8"/>
  <c r="F53" i="8"/>
  <c r="E52" i="9"/>
  <c r="D52" i="9"/>
  <c r="F39" i="8"/>
  <c r="G37" i="8"/>
  <c r="H38" i="8"/>
  <c r="F54" i="5"/>
  <c r="F62" i="5"/>
  <c r="D64" i="1"/>
  <c r="C48" i="8"/>
  <c r="B48" i="9"/>
  <c r="F52" i="8"/>
  <c r="E54" i="8"/>
  <c r="D53" i="9"/>
  <c r="D51" i="9"/>
  <c r="E60" i="6"/>
  <c r="E71" i="6"/>
  <c r="E53" i="6"/>
  <c r="G18" i="3"/>
  <c r="F18" i="3"/>
  <c r="E18" i="3"/>
  <c r="H15" i="3"/>
  <c r="H14" i="3"/>
  <c r="H13" i="3"/>
  <c r="H12" i="3"/>
  <c r="H11" i="3"/>
  <c r="H10" i="3"/>
  <c r="H9" i="3"/>
  <c r="G7" i="3"/>
  <c r="F7" i="3"/>
  <c r="E7" i="3"/>
  <c r="H6" i="3"/>
  <c r="H5" i="3"/>
  <c r="G4" i="3"/>
  <c r="F4" i="3"/>
  <c r="E4" i="3"/>
  <c r="H18" i="3"/>
  <c r="H4" i="3"/>
  <c r="H7" i="3"/>
  <c r="F54" i="8"/>
  <c r="E51" i="9"/>
  <c r="B45" i="4"/>
  <c r="E29" i="4"/>
  <c r="E30" i="4"/>
  <c r="B28" i="4"/>
  <c r="G13" i="4"/>
  <c r="C33" i="4"/>
  <c r="H86" i="3"/>
  <c r="C85" i="3"/>
  <c r="H89" i="3"/>
  <c r="H74" i="3"/>
  <c r="H62" i="3"/>
  <c r="B4" i="7"/>
  <c r="B6" i="7"/>
  <c r="B11" i="7"/>
  <c r="B4" i="13"/>
  <c r="B6" i="13"/>
  <c r="B12" i="13"/>
  <c r="H20" i="3"/>
  <c r="H24" i="3"/>
  <c r="E53" i="9"/>
  <c r="F62" i="8"/>
  <c r="E60" i="9"/>
  <c r="E67" i="9"/>
  <c r="H85" i="3"/>
  <c r="B25" i="4"/>
  <c r="B26" i="4"/>
  <c r="B27" i="4"/>
  <c r="G45" i="3"/>
  <c r="H38" i="3"/>
  <c r="C37" i="3"/>
  <c r="H37" i="3"/>
  <c r="H27" i="3"/>
  <c r="E28" i="1"/>
  <c r="E29" i="1"/>
  <c r="C32" i="1"/>
  <c r="B27" i="1"/>
  <c r="G13" i="1"/>
  <c r="J36" i="12"/>
  <c r="J38" i="12"/>
  <c r="J36" i="18"/>
  <c r="J38" i="18"/>
  <c r="C126" i="3"/>
  <c r="B151" i="3"/>
  <c r="C151" i="3"/>
  <c r="H104" i="3"/>
  <c r="H106" i="3"/>
  <c r="H107" i="3"/>
  <c r="H111" i="3"/>
  <c r="H75" i="3"/>
  <c r="H77" i="3"/>
  <c r="H78" i="3"/>
  <c r="H82" i="3"/>
  <c r="H88" i="3"/>
  <c r="B24" i="1"/>
  <c r="B25" i="1"/>
  <c r="B29" i="4"/>
  <c r="B34" i="4"/>
  <c r="C34" i="4"/>
  <c r="C36" i="4"/>
  <c r="H46" i="3"/>
  <c r="H28" i="3"/>
  <c r="H29" i="3"/>
  <c r="H30" i="3"/>
  <c r="H34" i="3"/>
  <c r="H41" i="3"/>
  <c r="E30" i="1"/>
  <c r="B26" i="1"/>
  <c r="B150" i="3"/>
  <c r="C150" i="3"/>
  <c r="B154" i="3"/>
  <c r="H90" i="3"/>
  <c r="H91" i="3"/>
  <c r="D46" i="1"/>
  <c r="H119" i="3"/>
  <c r="H120" i="3"/>
  <c r="H117" i="3"/>
  <c r="D151" i="3"/>
  <c r="F151" i="3"/>
  <c r="G151" i="3"/>
  <c r="H40" i="3"/>
  <c r="H42" i="3"/>
  <c r="H43" i="3"/>
  <c r="H48" i="3"/>
  <c r="H52" i="3"/>
  <c r="H64" i="3"/>
  <c r="H68" i="3"/>
  <c r="B28" i="1"/>
  <c r="B33" i="1"/>
  <c r="C33" i="1"/>
  <c r="C35" i="1"/>
  <c r="B47" i="4"/>
  <c r="B51" i="4"/>
  <c r="B152" i="3"/>
  <c r="D150" i="3"/>
  <c r="F150" i="3"/>
  <c r="G150" i="3"/>
  <c r="H151" i="3"/>
  <c r="E151" i="3"/>
  <c r="B139" i="3"/>
  <c r="B39" i="7"/>
  <c r="C143" i="3"/>
  <c r="D45" i="1"/>
  <c r="D52" i="1"/>
  <c r="D53" i="1"/>
  <c r="D57" i="1"/>
  <c r="D143" i="3"/>
  <c r="E43" i="7"/>
  <c r="D43" i="7"/>
  <c r="C142" i="3"/>
  <c r="E150" i="3"/>
  <c r="B138" i="3"/>
  <c r="B38" i="7"/>
  <c r="D142" i="3"/>
  <c r="C144" i="3"/>
  <c r="D44" i="7"/>
  <c r="D42" i="7"/>
  <c r="E42" i="7"/>
  <c r="D144" i="3"/>
  <c r="E44" i="7"/>
  <c r="E47" i="7"/>
  <c r="B16" i="15"/>
  <c r="B27" i="17"/>
  <c r="B6" i="15"/>
  <c r="B29" i="17"/>
  <c r="B37" i="17"/>
  <c r="B20" i="15"/>
  <c r="B22" i="15"/>
  <c r="B8" i="15"/>
  <c r="B24" i="15"/>
  <c r="C37" i="17"/>
  <c r="B38" i="17"/>
  <c r="C38" i="17"/>
  <c r="D38" i="17"/>
  <c r="F37" i="17"/>
  <c r="C39" i="17"/>
  <c r="C41" i="17"/>
  <c r="D37" i="17"/>
  <c r="F38" i="17"/>
  <c r="G38" i="17"/>
  <c r="B39" i="17"/>
  <c r="E52" i="17"/>
  <c r="D39" i="17"/>
  <c r="E37" i="17"/>
  <c r="E53" i="17"/>
  <c r="E38" i="17"/>
  <c r="C49" i="17"/>
  <c r="F39" i="17"/>
  <c r="G37" i="17"/>
  <c r="H38" i="17"/>
  <c r="B43" i="15"/>
  <c r="C48" i="17"/>
  <c r="F52" i="17"/>
  <c r="E54" i="17"/>
  <c r="D48" i="15"/>
  <c r="D46" i="15"/>
  <c r="D47" i="15"/>
  <c r="F53" i="17"/>
  <c r="E47" i="15"/>
  <c r="E46" i="15"/>
  <c r="F54" i="17"/>
  <c r="E48" i="15"/>
  <c r="F62" i="17"/>
  <c r="E55" i="15"/>
  <c r="E62" i="15"/>
  <c r="D22" i="19" l="1"/>
  <c r="D25" i="19"/>
  <c r="D23" i="19"/>
  <c r="D24" i="19"/>
  <c r="D36" i="19"/>
  <c r="D26" i="19" l="1"/>
  <c r="D49" i="19" s="1"/>
</calcChain>
</file>

<file path=xl/sharedStrings.xml><?xml version="1.0" encoding="utf-8"?>
<sst xmlns="http://schemas.openxmlformats.org/spreadsheetml/2006/main" count="1210" uniqueCount="485">
  <si>
    <t>2014/15</t>
  </si>
  <si>
    <t>Staffing Block consisting of the typical cost drivers:</t>
  </si>
  <si>
    <t>Non-Staffing Block consisting of the typical cost drivers:</t>
  </si>
  <si>
    <t>Leadership Team</t>
  </si>
  <si>
    <t>Main Buyback (Finance / HR / Payroll / I.T)</t>
  </si>
  <si>
    <t>TLR Payments</t>
  </si>
  <si>
    <t>Other Buybacks (Insurances / Licences / R&amp;M)</t>
  </si>
  <si>
    <t>Places - Capacity</t>
  </si>
  <si>
    <t>School Business Manager / Bursar</t>
  </si>
  <si>
    <t>Energy (Water / Electricity / Gas or Oil)</t>
  </si>
  <si>
    <t>Lincoln</t>
  </si>
  <si>
    <t>Site Manager / Caretaker</t>
  </si>
  <si>
    <t>Outdoor &amp; Grounds Maintenance</t>
  </si>
  <si>
    <t>Grantham</t>
  </si>
  <si>
    <t>Cleaners</t>
  </si>
  <si>
    <t>Refuse Collection</t>
  </si>
  <si>
    <t>Boston</t>
  </si>
  <si>
    <t>Clerk to Governor</t>
  </si>
  <si>
    <t>Cleaning Materials</t>
  </si>
  <si>
    <t>Baumber</t>
  </si>
  <si>
    <t>Administrator</t>
  </si>
  <si>
    <t>Admin Supplies</t>
  </si>
  <si>
    <t>Cook</t>
  </si>
  <si>
    <t>Telephones</t>
  </si>
  <si>
    <t>Catering Assistant(s)</t>
  </si>
  <si>
    <t>Training &amp; Development</t>
  </si>
  <si>
    <t>Band 5 Descriptor</t>
  </si>
  <si>
    <t>Revised Value</t>
  </si>
  <si>
    <t>Educational Learning Materials</t>
  </si>
  <si>
    <t>(1 : 2 teacher / TA to pupil ratio)</t>
  </si>
  <si>
    <t>Photocopier</t>
  </si>
  <si>
    <t>LSN costs</t>
  </si>
  <si>
    <t>STAPs support</t>
  </si>
  <si>
    <t>Rates</t>
  </si>
  <si>
    <t>Staffing Block</t>
  </si>
  <si>
    <t>Non-Staffing Block</t>
  </si>
  <si>
    <t>Banded Funding (Revised)</t>
  </si>
  <si>
    <t>2014/15 Delegated Budget</t>
  </si>
  <si>
    <t>Represents September 2014 Opening</t>
  </si>
  <si>
    <t>Places (65% share)</t>
  </si>
  <si>
    <t>DfE Presentation format</t>
  </si>
  <si>
    <t>Rate</t>
  </si>
  <si>
    <t>Indicative Funding</t>
  </si>
  <si>
    <t>Place Value / Funding</t>
  </si>
  <si>
    <t>Top up Funding Value / Funding (1)</t>
  </si>
  <si>
    <t>65% Top up rate</t>
  </si>
  <si>
    <t>Top up Funding Value / Funding (2)</t>
  </si>
  <si>
    <t>Above 65% Top up rate</t>
  </si>
  <si>
    <t>2014/15 Budgets</t>
  </si>
  <si>
    <t>Commissioned Arrangements</t>
  </si>
  <si>
    <t>Revised Budgets</t>
  </si>
  <si>
    <t>Budget increased to take account of increased demands.</t>
  </si>
  <si>
    <t>Same budget as 2013/14</t>
  </si>
  <si>
    <t>All the arrangements of the TLC, Sol4, Home Tuition &amp; Outreach will have a separate Memorandum of Understanding (MoU) in place.</t>
  </si>
  <si>
    <t>DSB - TLC</t>
  </si>
  <si>
    <t>DSB - SOL4</t>
  </si>
  <si>
    <t>2015/16</t>
  </si>
  <si>
    <t>Funding Allocation - Assumes maximum use of the 110 places (2015/16 funding)</t>
  </si>
  <si>
    <t>Based on 110 places (max. capacity)</t>
  </si>
  <si>
    <t>SOLUTIONS 4/INTERVENTION TEAM</t>
  </si>
  <si>
    <t>Central Funding Support (Solutions 4 provision)</t>
  </si>
  <si>
    <t>Funding for Providers</t>
  </si>
  <si>
    <t>Total Spend 2013/14</t>
  </si>
  <si>
    <t>Total Budgeting</t>
  </si>
  <si>
    <t>Top up Value</t>
  </si>
  <si>
    <t>Additional places beyond 100 will be paid at £8,000</t>
  </si>
  <si>
    <t>Total Funding</t>
  </si>
  <si>
    <t>Total Place Funding</t>
  </si>
  <si>
    <t>Total Top up Funding</t>
  </si>
  <si>
    <t>Hourly Rate at a place cost of £8,000 is:</t>
  </si>
  <si>
    <t>Total number of hours over the number of places</t>
  </si>
  <si>
    <t>2013/14 Total Funding</t>
  </si>
  <si>
    <t>Overspend - investigating this balance identified £0.220m of supply staff, which appears to be the same issue as identified with the TLC. This will be picked up with the review of the rate.</t>
  </si>
  <si>
    <t>Places</t>
  </si>
  <si>
    <t>DfE Per Place</t>
  </si>
  <si>
    <t>DfE Presentation</t>
  </si>
  <si>
    <t>Total Cost per Place (100 places only)</t>
  </si>
  <si>
    <t>218 Agreed Block Places</t>
  </si>
  <si>
    <t>DfE Place Value</t>
  </si>
  <si>
    <t>In Year Funding</t>
  </si>
  <si>
    <t>Pupil Premium Funding</t>
  </si>
  <si>
    <t>Received in 2013/14</t>
  </si>
  <si>
    <t>One-off Transition Funding</t>
  </si>
  <si>
    <t>Pupil Premium</t>
  </si>
  <si>
    <t>Service Children</t>
  </si>
  <si>
    <t>looked After Children</t>
  </si>
  <si>
    <t>LAC OoC</t>
  </si>
  <si>
    <t>Deficit Position</t>
  </si>
  <si>
    <t>2013/14</t>
  </si>
  <si>
    <t xml:space="preserve">Commissioned Place Funding </t>
  </si>
  <si>
    <t>Special School Funding Formula</t>
  </si>
  <si>
    <t>2013/14 Funding</t>
  </si>
  <si>
    <t>The current max. capacity is 90 places (Baumber opens in September 2014), therefore funding requirements are as follows:</t>
  </si>
  <si>
    <t>2013/14 Delegated Budget</t>
  </si>
  <si>
    <t>Final spend position 2013/14</t>
  </si>
  <si>
    <t xml:space="preserve">       60211       DSB-MARY KNOX EDU CE</t>
  </si>
  <si>
    <t xml:space="preserve">       60268       DSB - EBSS SUPPORT</t>
  </si>
  <si>
    <t xml:space="preserve">       60272       DSB - GRANTHAM AREA</t>
  </si>
  <si>
    <t xml:space="preserve">       60273       DSB - LINCOLN AREA</t>
  </si>
  <si>
    <t xml:space="preserve">       60274       DSB - BOSTON AREA</t>
  </si>
  <si>
    <t>School Carry Forward</t>
  </si>
  <si>
    <t>HOME TUITION</t>
  </si>
  <si>
    <t>OUTREACH</t>
  </si>
  <si>
    <t>Funding Allocation - Assumes maximum use of the 101.67 places (2014/15 funding)</t>
  </si>
  <si>
    <t>Funding Allocation - Assumes maximum use of the 90 places (2013/14 funding)</t>
  </si>
  <si>
    <t>Employee</t>
  </si>
  <si>
    <t>Grade</t>
  </si>
  <si>
    <t>hours</t>
  </si>
  <si>
    <t>fte</t>
  </si>
  <si>
    <t>Pay</t>
  </si>
  <si>
    <t>NI</t>
  </si>
  <si>
    <t>Pension</t>
  </si>
  <si>
    <t>Total</t>
  </si>
  <si>
    <t>Headteacher</t>
  </si>
  <si>
    <t>L27</t>
  </si>
  <si>
    <t>Assistant Headteacher</t>
  </si>
  <si>
    <t>L5</t>
  </si>
  <si>
    <t>Teaching Sickness Insurance 3 day standard</t>
  </si>
  <si>
    <t>1.2 x £1,110</t>
  </si>
  <si>
    <t>Teaching</t>
  </si>
  <si>
    <t>Commissioning Officer (Buyback from LCC)</t>
  </si>
  <si>
    <t>Pastoral Leader BIM</t>
  </si>
  <si>
    <t>G9 scp 26</t>
  </si>
  <si>
    <t>Complex (BIP) Worker</t>
  </si>
  <si>
    <t>G6 scp 17</t>
  </si>
  <si>
    <t>TAC Coordinator KS4</t>
  </si>
  <si>
    <t>G8 scp 23</t>
  </si>
  <si>
    <t>Admin</t>
  </si>
  <si>
    <t>G5 scp 14</t>
  </si>
  <si>
    <t>Pupil Support Assistant</t>
  </si>
  <si>
    <t>TA2 scp 12</t>
  </si>
  <si>
    <t>Outdoor Activity Coordinator</t>
  </si>
  <si>
    <t>G7 scp 20</t>
  </si>
  <si>
    <t>TA Sickness Insurance 3 day standard</t>
  </si>
  <si>
    <t>1.694 x £490</t>
  </si>
  <si>
    <t>Admin Sickness Insurance 3 day standard</t>
  </si>
  <si>
    <t>4.235 x £490</t>
  </si>
  <si>
    <t>Total Non Teaching</t>
  </si>
  <si>
    <t>Supplies &amp; Services (Support the team)</t>
  </si>
  <si>
    <t>Also to note is the outstanding 'supply cover' for Sol4 provision that is supported by the TLC. This has not been costed within these budget envelopes.</t>
  </si>
  <si>
    <t>Total TLC / PRU Budgeted Provision</t>
  </si>
  <si>
    <t>Budget Earmarked for 2014/15</t>
  </si>
  <si>
    <t>Available Resource</t>
  </si>
  <si>
    <t>Pressures</t>
  </si>
  <si>
    <t>TA / Supply Cover in Sol4</t>
  </si>
  <si>
    <t xml:space="preserve">Based on last years costs. </t>
  </si>
  <si>
    <t>Plus</t>
  </si>
  <si>
    <t xml:space="preserve">Additional pupils beyond 218 </t>
  </si>
  <si>
    <t>Summer Term</t>
  </si>
  <si>
    <t>Additional Cost Pressure</t>
  </si>
  <si>
    <t>The Assistant Director has agreed from September 14 to August 15 to increase the provider daily rate to £45. This is a change from £7,800 to £8,775, an increase of £975 per annual place. To provide stability to the budgets due to fluctuations in numbers across the year it has been agreed to include this within the original 100 places, providing security over the level of funding.  The annual cost of this decision based on 218 places is £212,550. This is being implemented in September (26 weeks / 38 weeks), so the FY 2014/15 cost is £145,430.</t>
  </si>
  <si>
    <t>Please note that Stuart Carlton has made the decision to increase the rate from £40 to £45 for the academic year 2014/15. The full AY effect is c.£0.213m.</t>
  </si>
  <si>
    <t>Excl. Transport (£1.1m)</t>
  </si>
  <si>
    <t>Incl' September 14 rate increase to £45 per day.</t>
  </si>
  <si>
    <t>April 15 - August 15</t>
  </si>
  <si>
    <t>A.</t>
  </si>
  <si>
    <t>Place Funding: April 15 - August 15</t>
  </si>
  <si>
    <t>Place Funding: September 15 - March 16</t>
  </si>
  <si>
    <t>Total Place-Led funding</t>
  </si>
  <si>
    <t>Pupil-led</t>
  </si>
  <si>
    <t>Top up Funding</t>
  </si>
  <si>
    <t>Place Value</t>
  </si>
  <si>
    <t>Overall Funding: April 15 - August 15</t>
  </si>
  <si>
    <t>Overall Funding: September 15 - March 16</t>
  </si>
  <si>
    <t>Place Funding</t>
  </si>
  <si>
    <t>Agreed 2015/16 Top up (April 15 - August 15)</t>
  </si>
  <si>
    <t>Agreed 2015/16 Top up (September 15 - March 16)</t>
  </si>
  <si>
    <t>Share of Funding</t>
  </si>
  <si>
    <t>Top up Share</t>
  </si>
  <si>
    <t>Banded Funding</t>
  </si>
  <si>
    <t>2015/16 Funding</t>
  </si>
  <si>
    <t>Lincolnshire TLC Funding</t>
  </si>
  <si>
    <t>Agreed 2015/16 Place Numbers</t>
  </si>
  <si>
    <t>September 15 - March 16</t>
  </si>
  <si>
    <t>Staffing Block: typical cost drivers:</t>
  </si>
  <si>
    <t>Non-Staffing Block: typical cost drivers:</t>
  </si>
  <si>
    <t>Band 5 TLC Rate</t>
  </si>
  <si>
    <t>Band Descriptor</t>
  </si>
  <si>
    <t>Band Value</t>
  </si>
  <si>
    <t>Principle: A ratio of 2 to 1, requires for every 10 children, 1 Teacher &amp; 4 TAs.</t>
  </si>
  <si>
    <t>One-off DSG under spend allocation</t>
  </si>
  <si>
    <t>Behaviour Outreach Arrangements</t>
  </si>
  <si>
    <t>Home Tuition</t>
  </si>
  <si>
    <t>Represents the period April 15 to December 15 (9 months).</t>
  </si>
  <si>
    <t>Description</t>
  </si>
  <si>
    <t>Monetary Sum</t>
  </si>
  <si>
    <t>Lincolnshire TLC Funding - 2015/16 Budget Share</t>
  </si>
  <si>
    <t>One-off Funding</t>
  </si>
  <si>
    <t>Funding based on 110 places (maximum capacity)</t>
  </si>
  <si>
    <t>Indicative Place Numbers for 2015/16</t>
  </si>
  <si>
    <t>Assumed Building Capacity</t>
  </si>
  <si>
    <t>Education Funding Agency (EFA) presentation of 2015/16 Funding</t>
  </si>
  <si>
    <t xml:space="preserve">The EFA require Local Authorities to present special schools / Alternative Provision funding through a place and top up funding approach. The funding detailed above calculates schools funding through Lincolnshire's agreed funding formula is converted into the EFA's place and top up arrangements i.e. purely presentational changes initially.   </t>
  </si>
  <si>
    <t>Place Value (share)</t>
  </si>
  <si>
    <t>Agreed 2015/16 Top up Rate (April 15 - August 15)</t>
  </si>
  <si>
    <t>Agreed 2015/16 Top up Rate (September 15 - March 16)</t>
  </si>
  <si>
    <t>Top up Rate Value</t>
  </si>
  <si>
    <t>April 15 - August 15: Indicative Top up Funding</t>
  </si>
  <si>
    <t>September 15 - March 16: Indicative Top up Funding</t>
  </si>
  <si>
    <t>2015/16 Final Indicative Budget Share</t>
  </si>
  <si>
    <t>Top up Value (April - August)</t>
  </si>
  <si>
    <t>Top uo Value 12/12th</t>
  </si>
  <si>
    <t>Based on 71.5 Places</t>
  </si>
  <si>
    <t>Based on 110 Places</t>
  </si>
  <si>
    <t>Passes Reasonableness Test - Place Value has increased by £2,000.</t>
  </si>
  <si>
    <t>Commissioned Funding - Solutions 4</t>
  </si>
  <si>
    <t>Headteacher (0.2FTE)</t>
  </si>
  <si>
    <t>Commissioning Officer</t>
  </si>
  <si>
    <t>Banded Funding (£45 per day)</t>
  </si>
  <si>
    <t>A</t>
  </si>
  <si>
    <t>Revised 2015/16 Position</t>
  </si>
  <si>
    <t>Top up Value 12/12th</t>
  </si>
  <si>
    <t>Pupil-Led</t>
  </si>
  <si>
    <t>Supplementary costs (£200 per place)</t>
  </si>
  <si>
    <t>Solutions 4 Daily Rate (£45 per day plus £200 per place)</t>
  </si>
  <si>
    <t xml:space="preserve">2. Indicative Funding for 2015/16 based on the TLC funding formula. The section provides a clear audit trail of how the TLC is funded through the agreed formula factors for 2015/16, before being presented through the DfE's place and top up arrangements. </t>
  </si>
  <si>
    <r>
      <t xml:space="preserve">1. </t>
    </r>
    <r>
      <rPr>
        <sz val="10"/>
        <rFont val="Arial"/>
        <family val="2"/>
      </rPr>
      <t xml:space="preserve">The Teaching &amp; Learning Centre (TLC) overall funding is built on the special schools funding formula principles and cost drivers. The components of the funding formula are a staffing block, non-staffing block banded funding and a rates factor. The funding blocks allow the school to have the effective infrastructure in place (staff and building resources) to open and were built up from a zero-based budget review. This approach ensures that the TLC's funding is built upon the comparable special schools funding formula, but is adjusted to recognise its different characteristics. For example, the TLC band 5 pupil descriptor is based on a 2 to 1 staffing to pupil ratio (i.e. for every 10 children, 1 Teacher &amp; 4 TAs) to recognise the challenging pupils it typically receives. All TLC places are funded on this approach. The rates factor allocation is based on an indicative figure, but this will be adjusted in the autumn 2015 term to reflect the actual rates bill paid by the TLC. </t>
    </r>
  </si>
  <si>
    <t>3. Agreed number of alternative provision FTE places, which is used to calculate the banded funding for the TLC.</t>
  </si>
  <si>
    <t>4. The band descriptor for the TLC that details the staffing ratio applied and monetary sum. This identifies the school banded funding and commissioned place value. The 2 to 1 staffing to pupil ratio provides the school with the flexibility to manage the differing needs of its pupils within its existing funding resource. The band values for the special schools / alternative provision sector have remained cash flat for 2015/16, which is the same approach applied for the mainstream and early years sectors.</t>
  </si>
  <si>
    <t xml:space="preserve">5. Cost drivers and monetary sums assigned to the staffing and non-staffing blocks to provide transparency in the schools funding. </t>
  </si>
  <si>
    <t xml:space="preserve">6. The number of places funded for the TLC based on anticipated demand and assumed building capacity. </t>
  </si>
  <si>
    <t>8. Home Tuition (commissioned arrangement): A Memorandum of Understanding has been established between the commissioned school and Local Authority outlining the desired outcomes from this funding. This continues to be an annual agreement.</t>
  </si>
  <si>
    <t>9. One-off DSG underspend allocation: Following consultation with Schools Forum in October 2014, the Local Authority decided to allocate £5m of the DSG underspend carried forward at 31st March 2014 to all schools. This one-off sum is treated outside of the main schools formula, and the schools share of the funding is determined by the schools non-staffing block allocation. It is imperative for financial planning purposes that schools do not build this into their medium term finance planning from 2016/17 and beyond.</t>
  </si>
  <si>
    <t>10. 2015/16 Final Indicative Budget Share: Indicative 2015/16 place and top up funding (2) relating to the TLC funding formula, commissioned arrangements (7, 8) and one-off funding (9).</t>
  </si>
  <si>
    <t>11. The DfE School Funding Reforms that were implemented in 2013/14 changed the presentation of how special schools / Alternative Provision were funded, namely through a ‘place-plus’ approach, i.e. special schools will receive a base level of funding of £10,000 (£8,000 for Alternative Provision) per planned place for their provision pupils. The place-led funding does not follow the pupil (like top up funding); therefore this place funding provides an element of financial stability to the school for the financial year 2015/16. This place-led funding will not be withdrawn from schools in the financial year. For the period April 15 to August 15 place funding per place is £8,000; however the DfE has informed Local Authorities from September 15 onwards, the funding per place will increase for Alternative Provision to £10,000 per annum with the required funds transferring from top up funding i.e. this is not additional funding for the school. This will however give greater stability in funding for such schools through the place and top up arrangement.</t>
  </si>
  <si>
    <t>12. Agreed place numbers for the period April 15 - August 15 and September 15 - March 16.</t>
  </si>
  <si>
    <t xml:space="preserve">13. The calculated place funding using the DfE place values and the Local Authority agreed number of places. </t>
  </si>
  <si>
    <t>16. The 2015/16 Total Indicative place-led and top up funding. This agrees to Lincolnshire's TLC funding formula (2).</t>
  </si>
  <si>
    <t>Based on 100 Places</t>
  </si>
  <si>
    <t>Based on 218 Places</t>
  </si>
  <si>
    <t>2015/16 Final Indicative Commissioned Funding - Solutions 4</t>
  </si>
  <si>
    <t>17. The 2015/16 Final Indicative Budget Share including the Total Indicative Funding plus the Commissioned Arrangements and One-off DSG Underspend. This agrees to Lincolnshire's TLC funding formula, commissioned funding and one-off DSG underspend (10).</t>
  </si>
  <si>
    <t>2015/16 Indicative Place-led and Top up Funding</t>
  </si>
  <si>
    <t>2. Cost drivers and monetary sums assigned to the staffing and non-staffing blocks to provide transparency in the schools funding. The Local Authority has agreed that the central cost for managing the Solutions 4 operations will be assigned against a smaller number of places (i.e. 100) to provide the stability in the funding for the Solution 4 central arrangements. Choosing 100 places for example will reduce the risk to the TLC on having top up funding removed (this is based on our historic analysis of pupil numbers).</t>
  </si>
  <si>
    <t>4. 2015/16 Final Indicative Commissioned Funding - Solutions 4. Solutions 4 funding to the TLC will be subject to place and top up funding.</t>
  </si>
  <si>
    <t>5. The number of places funded for the TLC based on anticipated demand.</t>
  </si>
  <si>
    <t xml:space="preserve">6. The band descriptor value for Solutions 4 provision. As outlined previously (3), the rate increase to £45 per day per pupil is a temporary increase. Where additional places are commissioned beyond the agreed level of 218, a pro-rata share of this place funding will be assigned based on days/weeks delivered. </t>
  </si>
  <si>
    <t>7. The DfE School Funding Reforms that were implemented in 2013/14 changed the presentation of how special schools / Alternative Provision were funded, namely through a ‘place-plus’ approach, i.e. special schools will receive a base level of funding of £10,000 (£8,000 for Alternative Provision) per planned place for their provision pupils. The place-led funding does not follow the pupil (like top up funding); therefore this place funding provides an element of financial stability to the school for the financial year 2015/16. This place-led funding will not be withdrawn from schools in the financial year. For the period April 15 to August 15 place funding per place is £8,000; however the DfE has informed Local Authorities from September 15 onwards, the funding per place will increase for Alternative Provision to £10,000 per annum with the required funds transferring from top up funding i.e. this is not additional funding for the school. This will however give greater stability in funding for such schools through the place and top up arrangement.</t>
  </si>
  <si>
    <t>8. Agreed place numbers for the period April 15 - August 15 and September 15 - March 16.</t>
  </si>
  <si>
    <t>9. The calculated place funding using the DfE place values and the Local Authority agreed number of places.</t>
  </si>
  <si>
    <t xml:space="preserve">12. Overall top up funding for alternative provision commissioned through the TLC. The same approach is being applied as the TLC main funding arrangements through a June count to determine top up adjustments for the academic year in question, and deductions will be made where numbers are below 100 places.  </t>
  </si>
  <si>
    <t>13. The 2015/16 Total Indicative place-led and top up funding. This agrees to the Solutions 4 alternative provision funding level identified in the formal build up (4)</t>
  </si>
  <si>
    <t>10. The agreed annual top up rates for the period identified. The Solutions 4 commissioned funding stream for the TLC derived an indicative allocation of £2.268m, which is the starting position for determining the share of funding being directed through place and top up funding. Upon the total place funding being allocated, the available funding is assigned through top up funding. The differing rates for the two periods are as a result of the DfE place value changes.</t>
  </si>
  <si>
    <t xml:space="preserve">1. The agreed funding arrangements for Solutions 4 provision allocated through the TLC is based on agreed formula that is also governed by the place and top up arrangements. The funding formula for commissioned Solutions 4 provision is firstly allocated through a staffing and non-staffing block, which allows the Solutions 4 infrastructure to be established to govern the effectiveness of the provision and support for pupils. Banded funding based on the agreed number of places and associated costs are also part of the agreed funding formula (3). </t>
  </si>
  <si>
    <t>11. 100 places have been assigned to the top up funding overall to provide stability to provision. The top up funding generally represents the staffing and non-staffing blocks identified to support the delivery and governance of the operation. Such an approach provides stability to the delivery of the provision. A weekly pupil count that is submitted to the Local Authority on a termly basis will be required to ensure compliance with the in-year adjustments process - this process will determine funding changes either through top up reductions or commissioned place funding.</t>
  </si>
  <si>
    <t>Represents the period April 15 to March 16.</t>
  </si>
  <si>
    <t>7. Outreach (commissioned arrangement): A Memorandum of Understanding has been established between the Local Authority and the school to undertake behaviour outreach arrangements. This arrangement will end on the 31st December 2015, and has been communicated to the school. Pro-rata funding has been allocated accordingly based of the schools 2014/15 outreach funding allocation. Schools Forum reports outline the direction of travel for commissioned outreach arrangements from September 2015 onwards. A tender process will identify the preferred deliverers of these outreach service streams.</t>
  </si>
  <si>
    <t>14. The agreed annual top up rates for the period identified. Lincolnshire’s TLC funding formula allocation of £2.242m is the starting position for determining the share of funding being directed through place and top up funding. Upon the total place funding being removed, the available funding is assigned through top up funding. The differing rates for the two periods are as a result of the DfE place value changes.</t>
  </si>
  <si>
    <t xml:space="preserve">3. In line with the special schools / Alternative Provision formula, banded funding is also calculated for Solution 4 provision delivered through the TLC. Children’s Services Directorate Management Team agreed to temporally increase the cost per day from £40 to £45 per pupil for the academic year 2014/15. This arrangement is to continue in the short-term (academic year 2015/16). The associated placement costs of £200 relate to expenditure in supporting those pupils that could be met by either the TLC or provider, e.g. exam fees, resources, meals etc. Pupil Premium is in addition to this funding formula.  </t>
  </si>
  <si>
    <t>15. The Local Authority wishes to provide the TLC with financial stability and predictability with regards to its top up funding, which is expected by the DfE to follow the child. 
• Wishing not to adjust downwards the TLC indicative budget published at a start of a financial year, the Local Authority will be wishing to create two top up rates. The first top up rate will be applicable for 65% of the capacity (71.5 places), whereby 100% of the top up funding for the agreed capacity will be distributed amongst 65% of the places. A zero top up value will be applicable for places above 65% of the agreed capacity. Therefore, if pupil numbers are above 65% of the TLC’s agreed capacity, no adjustment will be made to the indicative top up funding. However, if the utilisation is below this rate, the Local Authority will reduce the top up funding – having said that, one would expect that the TLC will not be incurring staffing costs and other associated costs. This financial stability will therefore assist in the TLC reintegrating pupils back into the most appropriate provision. In summary, top up funding is only assigned to pupils up to 71.5, therefore if the school numbers are above 71.5 but below 110 the school will receive no additional funding; however funding will be deducted where pupil numbers are below the 71.5 level.  If the pupil numbers were in addition to the 110 places, then additional funding will be applicable through commissioned place funding.  
• The timing of the pupil count (for top up purposes) is important due to the fluctuations in pupil numbers across the year. The Local Authority will be consistent with the BESD approach and apply a June count (as opposed to a more frequent count). This will provide further financial stability and predictability for the TLC and allow the school to concentrate on meeting local demands.
• The A weekly pupil count that is submitted to the Local Authority on a termly basis will be required to ensure compliance with the in-year adjustments process - this process will determine funding changes either through top up reductions or commissioned place funding.</t>
  </si>
  <si>
    <t>Lincolnshire TLC Funding - 2016/17 Budget Share</t>
  </si>
  <si>
    <t>2016/17 Funding</t>
  </si>
  <si>
    <t>2016/17 Final Indicative Budget Share</t>
  </si>
  <si>
    <t>Education Funding Agency (EFA) presentation of 2016/17 Funding</t>
  </si>
  <si>
    <t>Place Funding: April 16 - August 16</t>
  </si>
  <si>
    <t>Place Funding: September 16 - March 17</t>
  </si>
  <si>
    <t>April 16 - August 16: Indicative Top up Funding</t>
  </si>
  <si>
    <t>September 16 - March 17: Indicative Top up Funding</t>
  </si>
  <si>
    <t>2016/17 Indicative Place-led and Top up Funding</t>
  </si>
  <si>
    <t>Overall Funding: April 16 - August 16</t>
  </si>
  <si>
    <t>Overall Funding: September 16 - March 17</t>
  </si>
  <si>
    <t>Agreed 2016/17 Top up (April 16 - August 16)</t>
  </si>
  <si>
    <t>Agreed 2016/17 Top up (September 16 - March 17)</t>
  </si>
  <si>
    <t>2016/17</t>
  </si>
  <si>
    <t>Funding Allocation - Assumes maximum use of the 110 places (2016/17 funding)</t>
  </si>
  <si>
    <t>4. The band descriptor for the TLC that details the staffing ratio applied and monetary sum. This identifies the school banded funding and commissioned place value. The 2 to 1 staffing to pupil ratio provides the school with the flexibility to manage the differing needs of its pupils within its existing funding resource. The band values for the special schools / alternative provision sector have remained cash flat for 2016/17, which is the same approach applied for the mainstream and early years sectors.</t>
  </si>
  <si>
    <t>April 16 - August 16</t>
  </si>
  <si>
    <t>September 16 - March 17</t>
  </si>
  <si>
    <t>Agreed 2016/17 Place Numbers</t>
  </si>
  <si>
    <t>Indicative Place Numbers for 2016/17</t>
  </si>
  <si>
    <t>Total Funding Per Place</t>
  </si>
  <si>
    <t>Place-led Funding</t>
  </si>
  <si>
    <t>Top up Funding per Place</t>
  </si>
  <si>
    <t>Monetary Value</t>
  </si>
  <si>
    <t>Per Place Treatment</t>
  </si>
  <si>
    <t>Indicative Place and Top up Funding</t>
  </si>
  <si>
    <t xml:space="preserve">2. Indicative Place and Top Up Funding for 2016/17 based on the TLC funding formula. The section provides a clear audit trail of how the TLC is funded through the agreed formula factors for 2016/17, before this figure being presented through the DfE's place and top up arrangements.  </t>
  </si>
  <si>
    <t>*</t>
  </si>
  <si>
    <t xml:space="preserve">6. Cost drivers and monetary sums assigned to the staffing and non-staffing blocks to provide transparency in the schools funding. </t>
  </si>
  <si>
    <t xml:space="preserve">7. The number of places funded for the TLC based on anticipated demand and assumed building capacity. </t>
  </si>
  <si>
    <t>10. 2016/17 Final Indicative Budget Share: Indicative 2016/17 place and top up funding (2) relating to the TLC funding formula, and commissioned arrangements (8, 9).</t>
  </si>
  <si>
    <t>12. Agreed place numbers for the period April 16 - August 16 and September 16 - March 17.</t>
  </si>
  <si>
    <t xml:space="preserve">14. The 'modified' annual top up rates for the period identified. Lincolnshire’s TLC funding formula allocation of £2.242m is the starting position for determining the share of funding being directed through place and top up funding. Upon the total place funding being removed, the available funding is assigned through top up funding.   
• Wishing not to adjust downwards the TLC indicative budget published at a start of a financial year, the Local Authority has created two top up rates. The first top up rate will be applicable for 65% of the capacity (71.5 places), whereby 100% of the top up funding for the agreed capacity will be distributed amongst 65% of the places. A zero top up value will be applicable for places above 65% of the agreed capacity. Therefore, if pupil numbers are above 65% of the TLC’s agreed capacity, no adjustment will be made to the indicative top up funding. However, if the utilisation is below this rate, the Local Authority will reduce the top up funding – having said that, one would expect that the TLC will not be incurring staffing costs and other associated costs. This financial stability will therefore assist in the TLC reintegrating pupils back into the most appropriate provision. </t>
  </si>
  <si>
    <t>15. The Local Authority wishes to provide the TLC with financial stability and predictability with regards to its top up funding, which is expected by the DfE to follow the child - this is outlined in Point 14.
In summary, top up funding is only assigned to pupils up to 71.5, therefore if the school numbers are above 71.5 but below 110 the school will receive no additional funding; however funding will be deducted where pupil numbers are below the 71.5 level.  If the pupil numbers were in addition to the 110 places, then additional funding will be applicable through commissioned place funding.  
• The timing of the pupil count (for top up purposes) is important due to the fluctuations in pupil numbers across the year. The Local Authority will be consistent with the BESD approach and apply a June count (as opposed to a more frequent count). This will provide further financial stability and predictability for the TLC and allow the school to concentrate on meeting local demands.
• The weekly pupil count that is submitted to the Local Authority on a termly basis will be required to ensure compliance with the in-year adjustments process - this process will determine funding changes either through top up reductions or commissioned place funding.</t>
  </si>
  <si>
    <t>16. The 2016/17 Total Indicative place-led and top up funding. This agrees to Lincolnshire's TLC funding formula (2).</t>
  </si>
  <si>
    <t>17. The 2016/17 Final Indicative Budget Share including the Total Indicative Funding and Commissioned Arrangements. This agrees to Lincolnshire's TLC funding formula and commissioned funding (10).</t>
  </si>
  <si>
    <t xml:space="preserve">The EFA require Local Authorities to present special schools / alternative provision funding through a place and top up funding approach. The funding detailed above calculates schools funding through Lincolnshire's agreed funding formula and is then converted into the EFA's place and top up arrangements i.e. this is purely a presentational exercise initially on identifying a schools total budget until the application of the top up funding.   </t>
  </si>
  <si>
    <t>Top up Value p.a.</t>
  </si>
  <si>
    <t>Modified 2016/17 Top up Rate (April 16 - March 17)</t>
  </si>
  <si>
    <t xml:space="preserve">5. The Per Place Treatment for the funding identified based on the TLC funding formula. This section identifies the total place cost  of the provision; the DfE £10,000 per place cost and the identified top up value. * The DfE require Local Authorities to apply top up funding adjustments downwards where pupils are not present (i.e. top up follows the child), however this would destabilise both the operational and financial arrangements of the TLC and Lincolnshire's ambition to re-integrate pupils back into mainstream provision. Outlined in Point 15, the Local Authority has agreed that top up funding is assigned to 65% of the places (71.5), therefore the remaining 38.5 places having a zero adjustment providing financial stability to the school when numbers fluctuate to the 65% capacity level.  </t>
  </si>
  <si>
    <t>Represents the period April 16 to March 17</t>
  </si>
  <si>
    <t>Represents the period April 16 to August 16 (5 months).</t>
  </si>
  <si>
    <t xml:space="preserve">8. Outreach (commissioned arrangement): A Memorandum of Understanding has been established between the Local Authority and the school to undertake behaviour outreach arrangements. This arrangement will end on the 31st August 2016, and has been communicated to the school. Pro-rata funding has been allocated accordingly based of the schools 2015/16 outreach funding allocation. Schools Forum reports have outlined the direction of travel for commissioned outreach arrangements from September 2015 onwards. </t>
  </si>
  <si>
    <t xml:space="preserve">1. The Teaching &amp; Learning Centre (TLC) overall funding is built on the special schools funding formula principles and cost drivers. The components of the funding formula are a staffing block, non-staffing block, banded funding and a rates factor. The funding blocks allow the school to have the effective infrastructure in place (staff and building resources) to open and were built up from a zero-based budget review. This approach ensures that the TLC's funding is built upon the comparable special schools funding formula, but is adjusted to recognise its different characteristics. For example, the TLC band 5 pupil descriptor is based on a 2 to 1 staffing to pupil ratio (i.e. for every 10 children, 1 Teacher &amp; 4 TAs) to recognise the challenging pupils it typically receives. The rates factor allocation is based on the rates bill information in November 2015, but this will be adjusted in the autumn 2016 term to reflect the actual rates bill paid by the TLC. </t>
  </si>
  <si>
    <t>Solutions 4 Providers</t>
  </si>
  <si>
    <t>Solutions 4 Providers - Registered School</t>
  </si>
  <si>
    <t>Cost per day</t>
  </si>
  <si>
    <t>Days</t>
  </si>
  <si>
    <t>Total Place Cost</t>
  </si>
  <si>
    <t>Apr-Aug 2016 Days</t>
  </si>
  <si>
    <t>Apr-Aug 2016 Funding</t>
  </si>
  <si>
    <t>Spot Places</t>
  </si>
  <si>
    <t>Full year effect</t>
  </si>
  <si>
    <t>2015/16 Allocation</t>
  </si>
  <si>
    <t>Band Value p.a.</t>
  </si>
  <si>
    <t xml:space="preserve">April 2016 to August 2016 </t>
  </si>
  <si>
    <t>April 16 - August 16 Place Numbers</t>
  </si>
  <si>
    <t>2016/17 Final Indicative Commissioned Funding - Solutions 4</t>
  </si>
  <si>
    <t>Agreed Place Numbers</t>
  </si>
  <si>
    <t>April to August 2016</t>
  </si>
  <si>
    <t>September to March 2016</t>
  </si>
  <si>
    <t>Central Staffing Infrastructure</t>
  </si>
  <si>
    <t>Diff. Capacity Available</t>
  </si>
  <si>
    <t>Top up funding will be for places 1-100</t>
  </si>
  <si>
    <t>Annual Place Value</t>
  </si>
  <si>
    <t>April - August 2016</t>
  </si>
  <si>
    <t>Top up value</t>
  </si>
  <si>
    <t>Top up funding to be distributed - Apr to Aug 16</t>
  </si>
  <si>
    <t>Full Year Effect of Funding</t>
  </si>
  <si>
    <t>Less: April to August 2016 Funding</t>
  </si>
  <si>
    <t>A. Agrees with funding formula.</t>
  </si>
  <si>
    <t>Funding for distribution: Sept 2016 to March 2017</t>
  </si>
  <si>
    <t>Less place funding: Sept 2016 to March 2017</t>
  </si>
  <si>
    <t>Top up for Distribution: Sept 2016 to March 2017</t>
  </si>
  <si>
    <t>Annual Top up value</t>
  </si>
  <si>
    <t>Modified 2016/17 Top up Rate (April 16 - August 16 only)</t>
  </si>
  <si>
    <t>Full Year Total Place Costs</t>
  </si>
  <si>
    <t>5. The number of funded places agreed based on anticipated demand.</t>
  </si>
  <si>
    <t>7. Full year total planned place cost for key stage 4 pupils inclusive of all funding delegated through the TLC delivery model (excluding pupil premium).</t>
  </si>
  <si>
    <t>9. Agreed place numbers for the period April 2016 to August 2016.</t>
  </si>
  <si>
    <t>4. 2016/17 Final Indicative Commissioned Funding - Solutions 4, which will be presented through the place and top up funding. The funding allocation represents the period April 2016 to August 2016.</t>
  </si>
  <si>
    <r>
      <t xml:space="preserve">1. The agreed funding arrangements for Solutions 4 provision (key stage 4) is commissioned by the Local Authority to the TLC, and this funding is latterly presented through a place and top up arrangement. The funding formula for commissioned Solutions 4 provision firstly allocates funding through a staffing and non-staffing block, which allows the TLC to establish an infrastructure to govern and quality assure the effectiveness of the provision and to support its pupils. Banded funding is based on the agreed number of places for Solutions 4 providers including registered schools. </t>
    </r>
    <r>
      <rPr>
        <u/>
        <sz val="10"/>
        <rFont val="Arial"/>
        <family val="2"/>
      </rPr>
      <t>Funding for Solutions 4 provision is for the period April 2016 to August 2016 only</t>
    </r>
    <r>
      <rPr>
        <sz val="10"/>
        <rFont val="Arial"/>
        <family val="2"/>
      </rPr>
      <t>, and the Local Authority is currently working with the TLC to agree the desired future delivery model.</t>
    </r>
  </si>
  <si>
    <t>2. Cost drivers assigned to the staffing and non-staffing blocks are identified to provide transparency to the schools funding formula. The Local Authority has agreed that the central cost for managing the Solutions 4 operations will be assigned against a smaller number of places (i.e. 100) for top up purposes to provide the stability in the funding for the Solution 4 central arrangements. Identifying 100 places for example will reduce the risk to the TLC on having top up funding removed, which will allow the central infrastructure to remain unaffected.</t>
  </si>
  <si>
    <t>10. The planned place funding using the DfE place value (£10,000 pro-rata'd to cover the period April to August) and the Local Authority agreed number of places.</t>
  </si>
  <si>
    <t xml:space="preserve">11. The agreed top up rate for the period April 2016 to August 2016. The Solutions 4 commissioned funding stream (Point 4) is the starting position for determining the share of funding being directed through place and top up funding. Upon the total place funding being allocated (Point 10), the available funding is assigned through top up funding. This total top up monetary value for the period April 2016 to August 2016 is divided into 100 places not 142 places. Wishing not to adjust downwards the TLC indicative budget published at the start of a financial year for Solutions 4 provision, the Local Authority has created two top up rates. The first top up rate will be applicable for the first 100 places, whereby 100% of the top up funding for the agreed number will be distributed amongst those places. A zero top up value will be applicable for places above that level to the agreed number. Therefore, if pupil numbers are above 100 places of the Solutions 4 agreed capacity, no adjustment will be made to the indicative top up funding. However, if the utilisation is below this rate, the Local Authority will reduce the top up funding. This approach is to provide financial stability to the TLC and providers. </t>
  </si>
  <si>
    <t>12. The total top up funding has been assigned to 100 places to provide stability to provision. The top up funding generally represents the staffing and non-staffing blocks identified to support the delivery and governance of the operation. Such an approach provides stability to the delivery of the provision. A weekly pupil count that is submitted to the Local Authority by the school on a termly basis will be required to ensure compliance with the in-year adjustments process - this process will determine funding changes either through top up reductions or commissioned place funding.</t>
  </si>
  <si>
    <t xml:space="preserve">13. Overall top up funding for alternative provision commissioned through the TLC. The same approach is being applied as the TLC main funding arrangements through a June count (snapshot) to determine top up adjustments for the academic year in question, and top up deductions will be made where numbers are below 100 places.  </t>
  </si>
  <si>
    <t>14. The 2016/17 Total Indicative place-led and top up funding for the period April 2016 to August 2016. This agrees to the Solutions 4 alternative provision funding level identified in the funding formula build up (Point 4).</t>
  </si>
  <si>
    <t>8. The DfE School Funding Reforms changed the presentation of how special schools / alternative provision were funded, namely through a ‘place-plus’ approach, i.e. institutes would receive a base level of funding per planned place of £10,000 per annum for their pupil provision. The place-led funding does not follow the pupil (like top up funding); therefore this place funding provides an element of financial stability to the school. This place-led funding will not be withdrawn from schools in the financial year.</t>
  </si>
  <si>
    <t>6. The band descriptor values for Solutions 4 provision. As outlined in Point 3, the Local Authority has identified a daily rate for allocation to Solution 4 providers of £50.79 (plus a further £0.61 for exam fees incurred by the TLC) and for registered schools is £57.52, both prior to pupil premium funding. The funding band values represent the annual place cost.</t>
  </si>
  <si>
    <t>3. In line with the special schools / alternative provision formula, banded funding is also calculated for Solution 4 provision delivered through the TLC. The Local Authority identified a daily rate for allocation to Solution 4 providers of £50.79 (plus a further £0.61 for exam fees incurred by the TLC) and for registered schools being £57.52, both prior to pupil premium funding. The funding allocation represents the period April 2016 to August 2016 (namely, 69 days of provision).</t>
  </si>
  <si>
    <r>
      <t>9. Home Tuition (commissioned arrangement): A Memorandum of Understanding has been established between the commissioned school and Local Authority outlining the desired outcomes from this funding.</t>
    </r>
    <r>
      <rPr>
        <sz val="10"/>
        <color rgb="FFFF0000"/>
        <rFont val="Arial"/>
        <family val="2"/>
      </rPr>
      <t xml:space="preserve"> </t>
    </r>
    <r>
      <rPr>
        <sz val="10"/>
        <color theme="1"/>
        <rFont val="Arial"/>
        <family val="2"/>
      </rPr>
      <t>This continues to be an annual agreement, with the main objective to provi</t>
    </r>
    <r>
      <rPr>
        <sz val="10"/>
        <rFont val="Arial"/>
        <family val="2"/>
      </rPr>
      <t xml:space="preserve">de full-time education to pupils who are identified as not receiving one as per Section 19 of Education Act. </t>
    </r>
  </si>
  <si>
    <t>September 16 - March 17 Place Numbers</t>
  </si>
  <si>
    <t xml:space="preserve">Solutions 4 Funding Continued: September 2016 to March 2017 </t>
  </si>
  <si>
    <t>Total Place Costs</t>
  </si>
  <si>
    <t>Value p.a.</t>
  </si>
  <si>
    <t xml:space="preserve">The Local Authority has agreed for the period September 2016 to August 2017 only an agreed key stage 4 top up funding value of £10,500 (total place cost of £20,500). The fundamentals of this funding is derived from the LTLC (KS1 - 3) funding arrangements. The Local Authority will work with the school to undertake a zero-based budget review using the principles applied through the special schools funding formula to determine a formula and funding from September 2017 based on the planned operation.  </t>
  </si>
  <si>
    <t>2016/17 Top up Rate (September 16 - March 17)</t>
  </si>
  <si>
    <t>2. The DfE School Funding Reforms changed the presentation of how special schools / alternative provision was funded, namely through a ‘place-plus’ approach, i.e. institutes would receive a base level of funding per planned place of £10,000 per annum for their pupil provision. The place-led funding does not follow the pupil (like top up funding); therefore this place funding provides an element of financial stability to the school. This place-led funding will not be withdrawn from schools in the financial year. A proportion of this funding is intended to support the infrastructure of the school.</t>
  </si>
  <si>
    <t>4. The total place value cost inclusive of the place value and top up value agreed.</t>
  </si>
  <si>
    <t>11. The DfE School Funding Reforms that were implemented in 2013/14 changed the presentation of how special schools / alternative provision were funded, namely through a ‘place-plus’ approach, i.e. a base level of funding of £10,000 per planned place for their provision pupils. The place-led funding does not follow the pupil (like top up funding); therefore this place funding provides an element of financial stability to the school for the financial year 2016/17. This place-led funding will not be withdrawn from schools in the financial year. For the period April 2016 to March 2017 place funding is £10,000 per place.</t>
  </si>
  <si>
    <t>5. The calculated place funding using the DfE place values and the Local Authority agreed number of places for the period September 2016 to March 2017.</t>
  </si>
  <si>
    <t>7. 2016/17 Indicative Place-led and Top up Funding for the period September 2016 to March 2017 for the key stage 4 provision.</t>
  </si>
  <si>
    <t xml:space="preserve">1. The number of places agreed for key stage 4 provision for the academic year 2016/17. The 2016/17 budget shares allocation incorporates the 142 place numbers for the period September 2016 to March 2017 in line with the determined funding period. Place number changes for the following academic year will be considered in the autumn preceding, which is consistent with the special schools place number process. </t>
  </si>
  <si>
    <t>3. The top up funding for the key stage 4 provision agreed for the period September 2016 to March 2017 (although applicable until August 2017). This is paid directly to the educating institution by the commissioner. Top up funding will follow the child; therefore adjustments will be made to reflect real-time movements.</t>
  </si>
  <si>
    <t>6. The calculated top up funding using the agreed top up rate and the Local Authority agreed number of places for the period September 2016 to March 2017. In line with the DfE requirements of ensuring top ups follow the child, the Local Authority intends to review top up funding by using a termly snapshot. The autumn snapshot will be made on the 12th December 2016 (Monday) and the spring snapshot will be made on the 27th March 2017 (Monday). The number of pupils in the school on those dates will determine the levels of top up for the term up to 142 places. Where numbers go above the 142 level, a net pupil position will be determined across the term, and if the schools net pupil weeks are above the 142 place level, a pro-rata share of the top up value will be applicable. This net pupil position approach is consistent with special schools.</t>
  </si>
  <si>
    <t>Agreed 2017/18 Place Numbers</t>
  </si>
  <si>
    <t>April 17 - August 17</t>
  </si>
  <si>
    <t>September 17 - March 18</t>
  </si>
  <si>
    <t>2017/18 Final Indicative Budget Share</t>
  </si>
  <si>
    <t>Education Funding Agency (EFA) presentation of 2017/18 Funding</t>
  </si>
  <si>
    <t>Modified 2017/18 Top up Rate (April 17 - March 18)</t>
  </si>
  <si>
    <t>April 17 - August 17 : Indicative Top up Funding</t>
  </si>
  <si>
    <t>September 17 - March 18 : Indicative Top up Funding</t>
  </si>
  <si>
    <t xml:space="preserve">2. Indicative Place and Top Up Funding for 2017/18 based on the TLC funding formula. The section provides a clear audit trail of how the TLC is funded through the agreed formula factors for 2017/18, before this figure being presented through the DfE's place and top up arrangements.  </t>
  </si>
  <si>
    <t>4. The band descriptor for the TLC that details the staffing ratio applied and monetary sum. This identifies the school banded funding and commissioned place value. The 2 to 1 staffing to pupil ratio provides the school with the flexibility to manage the differing needs of its pupils within its existing funding resource. The band values for the special schools / alternative provision sector have remained cash flat for 2017/18, which is the same approach applied for the mainstream and early years sectors.</t>
  </si>
  <si>
    <t xml:space="preserve">11. The calculated place funding using the DfE place values and the Local Authority agreed number of places. </t>
  </si>
  <si>
    <t xml:space="preserve">12. The 'modified' annual top up rates for the period identified. Lincolnshire’s TLC funding formula allocation of £2.242m is the starting position for determining the share of funding being directed through place and top up funding. Upon the total place funding being removed, the available funding is assigned through top up funding.   
• Wishing not to adjust downwards the TLC indicative budget published at a start of a financial year, the Local Authority has created two top up rates. The first top up rate will be applicable for 65% of the capacity (71.5 places), whereby 100% of the top up funding for the agreed capacity will be distributed amongst 65% of the places. A zero top up value will be applicable for places above 65% of the agreed capacity. Therefore, if pupil numbers are above 65% of the TLC’s agreed capacity, no adjustment will be made to the indicative top up funding. However, if the utilisation is below this rate, the Local Authority will reduce the top up funding – having said that, one would expect that the TLC will not be incurring staffing costs and other associated costs. This financial stability will therefore assist in the TLC reintegrating pupils back into the most appropriate provision. </t>
  </si>
  <si>
    <t>13. The Local Authority wishes to provide the TLC with financial stability and predictability with regards to its top up funding, which is expected by the DfE to follow the child - this is outlined in Point 14.
In summary, top up funding is only assigned to pupils up to 71.5, therefore if the school numbers are above 71.5 but below 110 the school will receive no additional funding; however funding will be deducted where pupil numbers are below the 71.5 level.  If the pupil numbers were in addition to the 110 places, then additional funding will be applicable through commissioned place funding.  
• The timing of the pupil count (for top up purposes) is important due to the fluctuations in pupil numbers across the year. The Local Authority will be consistent with the BESD approach and apply a June count (as opposed to a more frequent count). This will provide further financial stability and predictability for the TLC and allow the school to concentrate on meeting local demands.
• The weekly pupil count that is submitted to the Local Authority on a termly basis will be required to ensure compliance with the in-year adjustments process - this process will determine funding changes either through top up reductions or commissioned place funding.</t>
  </si>
  <si>
    <t>8. 2017/18 Final Indicative Budget Share: Indicative 2017/18 place and top up funding (2) relating to the TLC funding formula.</t>
  </si>
  <si>
    <t>9. The DfE School Funding Reforms that were implemented in 2013/14 changed the presentation of how special schools / alternative provision were funded, namely through a ‘place-plus’ approach, i.e. a base level of funding of £10,000 per planned place for their provision pupils. The place-led funding does not follow the pupil (like top up funding); therefore this place funding provides an element of financial stability to the school for the financial year 2017/18. This place-led funding will not be withdrawn from schools in the financial year. For the period April 2017 to March 2018 place funding is £10,000 per place.</t>
  </si>
  <si>
    <t>10. Agreed place numbers for the period April 17 - August 17 and September 17 - March 18.</t>
  </si>
  <si>
    <t>14. The 2017/18 Total Indicative place-led and top up funding. This agrees to Lincolnshire's TLC funding formula (2).</t>
  </si>
  <si>
    <t>15. The 2017/18 Final Indicative Budget Share including the Total Indicative Funding and Commissioned Arrangements. This agrees to Lincolnshire's TLC funding formula and commissioned funding (10).</t>
  </si>
  <si>
    <t>2017/18</t>
  </si>
  <si>
    <t>Funding Allocation - Assumes maximum use of the 110 places (2017/18 funding)</t>
  </si>
  <si>
    <t>Place Funding: April 17 - August 17</t>
  </si>
  <si>
    <t>Place Funding: September 17 - March 18</t>
  </si>
  <si>
    <t>Overall Funding: April 17 - August 17</t>
  </si>
  <si>
    <t>Overall Funding: September 17 - March 18</t>
  </si>
  <si>
    <t>Agreed 2017/18 Top up (April 17 - August 17)</t>
  </si>
  <si>
    <t>Agreed 2017/18 Top up (September 17 - March 18)</t>
  </si>
  <si>
    <t>2017/18 Indicative Place-led and Top up Funding</t>
  </si>
  <si>
    <t>Sol 4 Budget Share 2017/18</t>
  </si>
  <si>
    <t>April 17 - March 18 Place Numbers</t>
  </si>
  <si>
    <t>2017/18 Funding</t>
  </si>
  <si>
    <t>Lincolnshire TLC Funding - 2017/18 Budget Share</t>
  </si>
  <si>
    <t xml:space="preserve">The Local Authority has agreed for the period April 17 to March 2018 an agreed key stage 4 top up funding value of £10,500 (total place cost of £20,500). The fundamentals of this funding is derived from the LTLC (KS1 - 3) funding arrangements. The Local Authority will work with the school to undertake a zero-based budget review using the principles applied through the special schools funding formula to determine a formula and funding from April 2018 based on the planned operation.  </t>
  </si>
  <si>
    <t>Place Funding: April 17 - March 18</t>
  </si>
  <si>
    <t>2017/18 Top up Rate (April 17 - March 18)</t>
  </si>
  <si>
    <t>April 17 - March 18: Indicative Top up Funding</t>
  </si>
  <si>
    <t xml:space="preserve">1. The number of places agreed for key stage 4 provision for the academic year 2017/18. The 2017/18 budget shares allocation incorporates the 142 place numbers for the period April 2017 to March 2018 in line with the determined funding period. Place number changes for the following academic year will be considered in the autumn preceding, which is consistent with the special schools place number process. </t>
  </si>
  <si>
    <t>3. The top up funding for the key stage 4 provision agreed for the period April 2017 to March 2018. This is paid directly to the educating institution by the commissioner. Top up funding will follow the child; therefore adjustments will be made to reflect real-time movements.</t>
  </si>
  <si>
    <t>5. The calculated place funding using the DfE place values and the Local Authority agreed number of places for the period April 2017 to March 2018.</t>
  </si>
  <si>
    <t>7. 2017/18 Indicative Place-led and Top up Funding for the period April 2017 to March 2018 for the key stage 4 provision.</t>
  </si>
  <si>
    <t>6. The calculated top up funding using the agreed top up rate and the Local Authority agreed number of places for the period April 2017 to March 2018. In line with the DfE requirements of ensuring top ups follow the child, the Local Authority intends to review top up funding by using a termly snapshot. The autumn snapshot will be made on the 11th December 2017 (Monday) and the spring snapshot will be made on the 26th March 2018 (Monday). The number of pupils in the school on those dates will determine the levels of top up for the term up to 142 places. Where numbers go above the 142 level, a net pupil position will be determined across the term, and if the schools net pupil weeks are above the 142 place level, a pro-rata share of the top up value will be applicable. This net pupil position approach is consistent with special schools.</t>
  </si>
  <si>
    <t xml:space="preserve">Solutions 4 Funding: April 17 to March 2018 </t>
  </si>
  <si>
    <r>
      <t>1. The Teaching &amp; Learning Centre (TLC) overall funding is built on the special schools funding formula principles and cost drivers. The components of the funding formula are a staffing block, non-staffing block, banded funding and a rates factor. The funding blocks allow the school to have the effective infrastructure in place (staff and building resources) to open and were built up from a zero-based budget review. This approach ensures that the TLC's funding is built upon the comparable special schools funding formula, but is adjusted to recognise its different characteristics. For example, the TLC band 5 pupil descriptor is based on a 2 to 1 staffing to pupil ratio (i.e. for every 10 children, 1 Teacher &amp; 4 TAs) to recognise the challenging pupils it typically receives.</t>
    </r>
    <r>
      <rPr>
        <sz val="10"/>
        <color theme="1"/>
        <rFont val="Arial"/>
        <family val="2"/>
      </rPr>
      <t xml:space="preserve"> The rates factor allocation is based on the rates bill information in October 2016, but this will be adjusted in the autumn 2017 term to reflect the actual rates bill paid by the TLC. </t>
    </r>
  </si>
  <si>
    <t>ISB Weightings</t>
  </si>
  <si>
    <t>Budget Shares</t>
  </si>
  <si>
    <t>Special Schools Funding - Lincolnshire Model 2017/18 - Pre &amp; Post 16 Children</t>
  </si>
  <si>
    <t>DfE Number</t>
  </si>
  <si>
    <t>School</t>
  </si>
  <si>
    <t>Allocation</t>
  </si>
  <si>
    <t>Schools</t>
  </si>
  <si>
    <t>Lump sum</t>
  </si>
  <si>
    <t>Boston John Fielding</t>
  </si>
  <si>
    <t>Special School places</t>
  </si>
  <si>
    <t>Grantham Sandon</t>
  </si>
  <si>
    <t>Pilgrim</t>
  </si>
  <si>
    <t>Louth St Bernard's</t>
  </si>
  <si>
    <t>Ash Villa</t>
  </si>
  <si>
    <t>Spalding The Garth</t>
  </si>
  <si>
    <t>TLC</t>
  </si>
  <si>
    <t>Spilsby The Eresby</t>
  </si>
  <si>
    <t>Gosberton House</t>
  </si>
  <si>
    <t>Grantham Ambergate</t>
  </si>
  <si>
    <t>Spalding The Priory</t>
  </si>
  <si>
    <t>Bourne Willoughby</t>
  </si>
  <si>
    <t>Funding Envelope</t>
  </si>
  <si>
    <t>Horncastle St Lawrence</t>
  </si>
  <si>
    <t>Lincoln St Christopher's</t>
  </si>
  <si>
    <t>Per Pupil</t>
  </si>
  <si>
    <t xml:space="preserve">Lincoln St Francis </t>
  </si>
  <si>
    <t xml:space="preserve"> </t>
  </si>
  <si>
    <t>Lincoln Fortuna (PFI)</t>
  </si>
  <si>
    <t>LS</t>
  </si>
  <si>
    <t>PP</t>
  </si>
  <si>
    <t>Grantham Phoenix (PFI)</t>
  </si>
  <si>
    <t>John Fielding School</t>
  </si>
  <si>
    <t>Lincoln Sincil Sports College (PFI)</t>
  </si>
  <si>
    <t>Sandon School</t>
  </si>
  <si>
    <t>Spilsby The Lady Jane Franklin (PFI)</t>
  </si>
  <si>
    <t>St Bernard's School</t>
  </si>
  <si>
    <t xml:space="preserve">Gainsborough Warren Wood </t>
  </si>
  <si>
    <t>Eresby Special School</t>
  </si>
  <si>
    <t>Gainsborough Aegir</t>
  </si>
  <si>
    <t>Gosberton House School</t>
  </si>
  <si>
    <t>Ambergate Sports College</t>
  </si>
  <si>
    <t>Boston Pilgrim</t>
  </si>
  <si>
    <t>The Priory School</t>
  </si>
  <si>
    <t>St Lawrence School</t>
  </si>
  <si>
    <t>Fortuna School</t>
  </si>
  <si>
    <t>Amount to allocate</t>
  </si>
  <si>
    <t>Phoenix Academy Trust</t>
  </si>
  <si>
    <t>% share of Non-Staffing Block</t>
  </si>
  <si>
    <t>Athena School</t>
  </si>
  <si>
    <t>Woodlands Academy</t>
  </si>
  <si>
    <t>Warren Wood Specialist Academy</t>
  </si>
  <si>
    <t>Aegir Specialist Academy</t>
  </si>
  <si>
    <t>Diff.</t>
  </si>
  <si>
    <t>Roundings</t>
  </si>
  <si>
    <t>Pupil-led Element</t>
  </si>
  <si>
    <t>Incremental Rate (£3m)</t>
  </si>
  <si>
    <t>Surplus Amount</t>
  </si>
  <si>
    <t>Additional Amount Per Pupil</t>
  </si>
  <si>
    <t>Added to the £33.75</t>
  </si>
  <si>
    <t>Rounded</t>
  </si>
  <si>
    <t>2019/20 Academic Year</t>
  </si>
  <si>
    <t>2020/21 Academic Year</t>
  </si>
  <si>
    <t>Education and Skills Funding Agency (ESFA) presentation of 2020/21 Funding</t>
  </si>
  <si>
    <t>Place Funding: April 20 - March 21</t>
  </si>
  <si>
    <t>Mablethorpe</t>
  </si>
  <si>
    <t>Spalding</t>
  </si>
  <si>
    <t>Total Places</t>
  </si>
  <si>
    <t>Top up Funding: September 20 - March 21</t>
  </si>
  <si>
    <t>2020/21 Indicative Budget Share</t>
  </si>
  <si>
    <t>Top up Funding: April 20 - August 20</t>
  </si>
  <si>
    <t>Total AP Place Numbers</t>
  </si>
  <si>
    <t xml:space="preserve">AP Funding: April 20 to March 21 </t>
  </si>
  <si>
    <t>AP Property</t>
  </si>
  <si>
    <t>7. The 2020/21 Indicative Top up Funding for the period September 2020 to March 2021.</t>
  </si>
  <si>
    <t>6. The 2020/21 Indicative Top up Funding for the period April 2020 to August 2020.</t>
  </si>
  <si>
    <t>8. The 2020/21 Indicative Budget Share for the period April 2020 to March 2021. This incorporates both the 2020/21 Indicative Place-led, and top up funding.</t>
  </si>
  <si>
    <t>Alternative Provision (AP) Budget Share: 2020/21</t>
  </si>
  <si>
    <t>ALTERNATIVE PROVISION (AP) FUNDING ALLOCATION SPREADSHEET CONTAINS THE FOLLOWING WORKSHEETS</t>
  </si>
  <si>
    <t>This provides the detail behind the AP funding for 2020/21</t>
  </si>
  <si>
    <t>* 2020/21 calculated AP funding using the DfE place and top up funding approach.</t>
  </si>
  <si>
    <t>The individual budget for AP has been calculated. Please see Budget Shares tab where the following information is displayed:</t>
  </si>
  <si>
    <t>2. The DfE School Funding Reforms changed the presentation of how special schools / AP were funded, namely through a ‘place-plus’ approach, i.e. institutes would receive a base level of funding per planned place of £10,000 per annum for their pupil provision. The place-led funding does not follow the pupil (like top up funding), therefore this place funding provides an element of financial stability to the school, and is intended to support the infrastructure of the school.</t>
  </si>
  <si>
    <t xml:space="preserve">5. The calculated place funding using the DfE place values and the Local Authority agreed number of places for the period April 2020 to March 2021. For the 2020/21 financial year, all 252 AP places will be funded directly by the ESFA through the General Annual Grant statement. </t>
  </si>
  <si>
    <t>For the period April 20 to March 21 the top up funding rate is £10,500 p.a. per place (total place cost of £20,500). The funding formula is currently being reviewed due to it being based on historic funding arrangements, and the Trust will be engaged in this formula and funding review, which will look to apply the principles of the Special Schools funding formula approach for Alternative Provision funding arrangements in the future. Protection arrangements will be in place to manage funding changes if funding levels are determined to be at a lower level than the current funding levels. The implementation date is to be confirmed upon the conclusion of the funding review.</t>
  </si>
  <si>
    <t xml:space="preserve">1. The number of places agreed for the academic years 2019/20 and 2020/21. The 2020/21 budget shares allocation incorporates the 252 place numbers (spread equally across the 4 schools) for the period April 2020 to March 2021. Place number changes for the following academic year (2021/22) will be considered in the autumn preceding, which is consistent with the special schools place number process. There is an expectation that the current Alternative Provision (AP) arrangements will operate with a 10% flex above the agreed numbers, meaning that a further 25 places can be agreed above the 252, at no additional cost to the authority. </t>
  </si>
  <si>
    <t>3. The top up funding agreed for the period April 2020 to March 2021. This is paid directly to the educating institution by the commissioner, such as the Local Authority. Top up funding will follow the child, therefore adjustments will be made to reflect real-time movements.</t>
  </si>
  <si>
    <t>9. The 2020/21 Indicative Budget Share for the period April 2020 to March 2021 for each individual school property. This incorporates both the 2020/21 Indicative Place-led, and top up funding.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</si>
</sst>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quot;£&quot;#,##0;\-&quot;£&quot;#,##0"/>
    <numFmt numFmtId="6" formatCode="&quot;£&quot;#,##0;[Red]\-&quot;£&quot;#,##0"/>
    <numFmt numFmtId="8" formatCode="&quot;£&quot;#,##0.00;[Red]\-&quot;£&quot;#,##0.00"/>
    <numFmt numFmtId="43" formatCode="_-* #,##0.00_-;\-* #,##0.00_-;_-* &quot;-&quot;??_-;_-@_-"/>
    <numFmt numFmtId="164" formatCode="&quot;£&quot;#,##0"/>
    <numFmt numFmtId="165" formatCode="#,##0_-;#,##0\-;&quot; &quot;"/>
    <numFmt numFmtId="166" formatCode="&quot;£&quot;#,##0.00"/>
  </numFmts>
  <fonts count="22" x14ac:knownFonts="1">
    <font>
      <sz val="10"/>
      <name val="Arial"/>
      <family val="2"/>
    </font>
    <font>
      <sz val="11"/>
      <color theme="1"/>
      <name val="Calibri"/>
      <family val="2"/>
      <scheme val="minor"/>
    </font>
    <font>
      <sz val="11"/>
      <color theme="1"/>
      <name val="Calibri"/>
      <family val="2"/>
      <scheme val="minor"/>
    </font>
    <font>
      <sz val="10"/>
      <name val="Arial"/>
      <family val="2"/>
    </font>
    <font>
      <b/>
      <sz val="10"/>
      <name val="Arial"/>
      <family val="2"/>
    </font>
    <font>
      <sz val="10"/>
      <color rgb="FFFF0000"/>
      <name val="Arial"/>
      <family val="2"/>
    </font>
    <font>
      <i/>
      <sz val="10"/>
      <color rgb="FFFF0000"/>
      <name val="Arial"/>
      <family val="2"/>
    </font>
    <font>
      <u/>
      <sz val="10"/>
      <name val="Arial"/>
      <family val="2"/>
    </font>
    <font>
      <sz val="10"/>
      <name val="Times New Roman"/>
      <family val="1"/>
    </font>
    <font>
      <sz val="12"/>
      <color indexed="8"/>
      <name val="Arial"/>
      <family val="2"/>
    </font>
    <font>
      <b/>
      <sz val="10"/>
      <color indexed="8"/>
      <name val="Times New Roman"/>
      <family val="1"/>
    </font>
    <font>
      <b/>
      <sz val="10"/>
      <name val="Times New Roman"/>
      <family val="1"/>
    </font>
    <font>
      <i/>
      <sz val="10"/>
      <name val="Times New Roman"/>
      <family val="1"/>
    </font>
    <font>
      <sz val="19"/>
      <name val="Times New Roman"/>
      <family val="1"/>
    </font>
    <font>
      <sz val="10"/>
      <name val="MS Sans Serif"/>
      <family val="2"/>
    </font>
    <font>
      <i/>
      <sz val="10"/>
      <name val="Arial"/>
      <family val="2"/>
    </font>
    <font>
      <b/>
      <sz val="14"/>
      <name val="Arial"/>
      <family val="2"/>
    </font>
    <font>
      <sz val="10"/>
      <color theme="1"/>
      <name val="Arial"/>
      <family val="2"/>
    </font>
    <font>
      <b/>
      <u/>
      <sz val="10"/>
      <name val="Arial"/>
      <family val="2"/>
    </font>
    <font>
      <sz val="11"/>
      <name val="Arial"/>
      <family val="2"/>
    </font>
    <font>
      <sz val="14"/>
      <name val="Arial"/>
      <family val="2"/>
    </font>
    <font>
      <b/>
      <sz val="10"/>
      <color theme="1"/>
      <name val="Arial"/>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3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8"/>
      </left>
      <right style="thin">
        <color indexed="8"/>
      </right>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7">
    <xf numFmtId="0" fontId="0" fillId="0" borderId="0"/>
    <xf numFmtId="0" fontId="3" fillId="0" borderId="0"/>
    <xf numFmtId="0" fontId="3" fillId="0" borderId="0"/>
    <xf numFmtId="43" fontId="8" fillId="0" borderId="0" applyFont="0" applyFill="0" applyBorder="0" applyAlignment="0" applyProtection="0"/>
    <xf numFmtId="0" fontId="2" fillId="0" borderId="0"/>
    <xf numFmtId="9" fontId="9" fillId="0" borderId="0" applyFont="0" applyFill="0" applyBorder="0" applyAlignment="0" applyProtection="0"/>
    <xf numFmtId="4" fontId="10" fillId="0" borderId="2" applyNumberFormat="0" applyProtection="0">
      <alignment vertical="center"/>
    </xf>
    <xf numFmtId="4" fontId="10" fillId="0" borderId="5" applyNumberFormat="0" applyProtection="0">
      <alignment horizontal="centerContinuous" vertical="center"/>
    </xf>
    <xf numFmtId="0" fontId="11" fillId="0" borderId="6" applyNumberFormat="0" applyProtection="0">
      <alignment vertical="center"/>
    </xf>
    <xf numFmtId="0" fontId="11" fillId="0" borderId="7" applyNumberFormat="0" applyProtection="0">
      <alignment horizontal="left" vertical="center" indent="1"/>
    </xf>
    <xf numFmtId="0" fontId="12" fillId="0" borderId="7" applyNumberFormat="0" applyProtection="0">
      <alignment horizontal="left" vertical="center" indent="1"/>
    </xf>
    <xf numFmtId="0" fontId="10" fillId="0" borderId="8" applyNumberFormat="0" applyProtection="0">
      <alignment horizontal="right" vertical="top" wrapText="1"/>
    </xf>
    <xf numFmtId="4" fontId="13" fillId="0" borderId="4" applyNumberFormat="0" applyProtection="0">
      <alignment horizontal="left" vertical="center" indent="1"/>
    </xf>
    <xf numFmtId="0" fontId="14" fillId="0" borderId="0"/>
    <xf numFmtId="43" fontId="3" fillId="0" borderId="0" applyFont="0" applyFill="0" applyBorder="0" applyAlignment="0" applyProtection="0"/>
    <xf numFmtId="0" fontId="1" fillId="0" borderId="0"/>
    <xf numFmtId="0" fontId="19" fillId="0" borderId="0"/>
  </cellStyleXfs>
  <cellXfs count="400">
    <xf numFmtId="0" fontId="0" fillId="0" borderId="0" xfId="0"/>
    <xf numFmtId="164" fontId="0" fillId="0" borderId="0" xfId="0" applyNumberFormat="1"/>
    <xf numFmtId="0" fontId="3" fillId="0" borderId="0" xfId="0" applyFont="1"/>
    <xf numFmtId="0" fontId="4" fillId="0" borderId="1" xfId="0" applyFont="1" applyBorder="1" applyAlignment="1">
      <alignment horizontal="center" wrapText="1"/>
    </xf>
    <xf numFmtId="0" fontId="4" fillId="0" borderId="2" xfId="0" applyFont="1" applyBorder="1" applyAlignment="1">
      <alignment horizontal="center" wrapText="1"/>
    </xf>
    <xf numFmtId="0" fontId="0" fillId="0" borderId="2" xfId="0" applyBorder="1"/>
    <xf numFmtId="164" fontId="0" fillId="0" borderId="2" xfId="0" applyNumberFormat="1" applyBorder="1" applyAlignment="1">
      <alignment horizontal="center"/>
    </xf>
    <xf numFmtId="0" fontId="0" fillId="0" borderId="0" xfId="0" applyAlignment="1">
      <alignment horizontal="center"/>
    </xf>
    <xf numFmtId="0" fontId="0" fillId="0" borderId="3" xfId="0" applyBorder="1" applyAlignment="1">
      <alignment horizontal="center"/>
    </xf>
    <xf numFmtId="0" fontId="0" fillId="0" borderId="0" xfId="0" applyBorder="1" applyAlignment="1">
      <alignment horizontal="center"/>
    </xf>
    <xf numFmtId="0" fontId="5" fillId="0" borderId="0" xfId="0" applyFont="1" applyFill="1"/>
    <xf numFmtId="164" fontId="5" fillId="0" borderId="0" xfId="0" applyNumberFormat="1" applyFont="1" applyFill="1" applyBorder="1" applyAlignment="1">
      <alignment horizontal="center"/>
    </xf>
    <xf numFmtId="0" fontId="6" fillId="0" borderId="0" xfId="0" applyFont="1" applyFill="1"/>
    <xf numFmtId="164" fontId="0" fillId="0" borderId="0" xfId="0" applyNumberFormat="1" applyAlignment="1">
      <alignment horizontal="center"/>
    </xf>
    <xf numFmtId="164" fontId="0" fillId="0" borderId="3" xfId="0" applyNumberFormat="1" applyBorder="1" applyAlignment="1">
      <alignment horizontal="center"/>
    </xf>
    <xf numFmtId="2" fontId="0" fillId="0" borderId="0" xfId="0" applyNumberFormat="1" applyAlignment="1">
      <alignment horizontal="center"/>
    </xf>
    <xf numFmtId="2" fontId="0" fillId="0" borderId="3" xfId="0" applyNumberFormat="1" applyBorder="1" applyAlignment="1">
      <alignment horizontal="center"/>
    </xf>
    <xf numFmtId="2" fontId="0" fillId="0" borderId="0" xfId="0" applyNumberFormat="1" applyBorder="1" applyAlignment="1">
      <alignment horizontal="center"/>
    </xf>
    <xf numFmtId="0" fontId="7" fillId="0" borderId="0" xfId="0" applyFont="1"/>
    <xf numFmtId="0" fontId="0" fillId="0" borderId="4" xfId="0" applyBorder="1"/>
    <xf numFmtId="0" fontId="0" fillId="0" borderId="0" xfId="0" applyFill="1"/>
    <xf numFmtId="164" fontId="0" fillId="0" borderId="0" xfId="0" applyNumberFormat="1" applyFill="1"/>
    <xf numFmtId="0" fontId="4" fillId="0" borderId="0" xfId="0" applyFont="1" applyAlignment="1">
      <alignment horizontal="right"/>
    </xf>
    <xf numFmtId="164" fontId="3" fillId="0" borderId="2" xfId="0" applyNumberFormat="1" applyFont="1" applyBorder="1" applyAlignment="1">
      <alignment horizontal="center"/>
    </xf>
    <xf numFmtId="164" fontId="0" fillId="0" borderId="0" xfId="0" applyNumberFormat="1" applyBorder="1" applyAlignment="1">
      <alignment horizontal="center"/>
    </xf>
    <xf numFmtId="0" fontId="4" fillId="0" borderId="0" xfId="1" applyFont="1"/>
    <xf numFmtId="0" fontId="3" fillId="0" borderId="0" xfId="1"/>
    <xf numFmtId="3" fontId="3" fillId="0" borderId="0" xfId="1" applyNumberFormat="1"/>
    <xf numFmtId="0" fontId="3" fillId="0" borderId="0" xfId="1" applyFill="1"/>
    <xf numFmtId="3" fontId="3" fillId="0" borderId="0" xfId="1" applyNumberFormat="1" applyAlignment="1">
      <alignment horizontal="center"/>
    </xf>
    <xf numFmtId="3" fontId="4" fillId="0" borderId="0" xfId="1" applyNumberFormat="1" applyFont="1" applyAlignment="1">
      <alignment horizontal="center"/>
    </xf>
    <xf numFmtId="164" fontId="4" fillId="0" borderId="10" xfId="1" applyNumberFormat="1" applyFont="1" applyFill="1" applyBorder="1" applyAlignment="1">
      <alignment horizontal="center"/>
    </xf>
    <xf numFmtId="0" fontId="3" fillId="0" borderId="0" xfId="1" applyFill="1" applyAlignment="1">
      <alignment horizontal="center"/>
    </xf>
    <xf numFmtId="0" fontId="7" fillId="0" borderId="0" xfId="1" applyFont="1"/>
    <xf numFmtId="0" fontId="3" fillId="0" borderId="0" xfId="0" applyFont="1" applyAlignment="1">
      <alignment horizontal="center"/>
    </xf>
    <xf numFmtId="164" fontId="3" fillId="0" borderId="0" xfId="1" applyNumberFormat="1" applyFill="1" applyAlignment="1">
      <alignment horizontal="center"/>
    </xf>
    <xf numFmtId="0" fontId="3" fillId="0" borderId="0" xfId="1" applyAlignment="1">
      <alignment horizontal="left" wrapText="1"/>
    </xf>
    <xf numFmtId="164" fontId="3" fillId="0" borderId="0" xfId="1" applyNumberFormat="1" applyAlignment="1">
      <alignment horizontal="center"/>
    </xf>
    <xf numFmtId="164" fontId="3" fillId="0" borderId="9" xfId="1" applyNumberFormat="1" applyBorder="1" applyAlignment="1">
      <alignment horizontal="center"/>
    </xf>
    <xf numFmtId="0" fontId="3" fillId="0" borderId="0" xfId="1" applyAlignment="1">
      <alignment horizontal="center"/>
    </xf>
    <xf numFmtId="164" fontId="3" fillId="0" borderId="0" xfId="1" applyNumberFormat="1"/>
    <xf numFmtId="0" fontId="0" fillId="0" borderId="0" xfId="1" applyFont="1"/>
    <xf numFmtId="0" fontId="7" fillId="0" borderId="0" xfId="1" applyFont="1" applyAlignment="1">
      <alignment horizontal="center"/>
    </xf>
    <xf numFmtId="0" fontId="3" fillId="0" borderId="4" xfId="1" applyBorder="1"/>
    <xf numFmtId="6" fontId="3" fillId="0" borderId="0" xfId="1" applyNumberFormat="1" applyAlignment="1">
      <alignment horizontal="center"/>
    </xf>
    <xf numFmtId="0" fontId="0" fillId="0" borderId="0" xfId="0" applyFont="1"/>
    <xf numFmtId="0" fontId="3" fillId="0" borderId="0" xfId="0" applyFont="1" applyFill="1" applyBorder="1" applyAlignment="1">
      <alignment horizontal="center"/>
    </xf>
    <xf numFmtId="0" fontId="0" fillId="0" borderId="0" xfId="0" applyFill="1" applyBorder="1"/>
    <xf numFmtId="0" fontId="3" fillId="0" borderId="0" xfId="0" applyFont="1" applyFill="1" applyBorder="1"/>
    <xf numFmtId="0" fontId="0" fillId="0" borderId="0" xfId="0" applyFill="1" applyBorder="1" applyAlignment="1">
      <alignment horizontal="center"/>
    </xf>
    <xf numFmtId="164" fontId="0" fillId="0" borderId="0" xfId="0" applyNumberFormat="1" applyFill="1" applyBorder="1" applyAlignment="1">
      <alignment horizontal="center"/>
    </xf>
    <xf numFmtId="164" fontId="3" fillId="0" borderId="0" xfId="0" applyNumberFormat="1" applyFont="1" applyFill="1" applyBorder="1" applyAlignment="1">
      <alignment horizontal="center"/>
    </xf>
    <xf numFmtId="0" fontId="3" fillId="0" borderId="0" xfId="0" applyFont="1" applyAlignment="1">
      <alignment horizontal="right"/>
    </xf>
    <xf numFmtId="0" fontId="3" fillId="0" borderId="0" xfId="0" applyFont="1" applyFill="1" applyBorder="1" applyAlignment="1">
      <alignment wrapText="1"/>
    </xf>
    <xf numFmtId="0" fontId="3" fillId="0" borderId="0" xfId="0" applyFont="1" applyAlignment="1"/>
    <xf numFmtId="0" fontId="3" fillId="0" borderId="0" xfId="0" applyFont="1" applyFill="1" applyAlignment="1"/>
    <xf numFmtId="0" fontId="0" fillId="0" borderId="0" xfId="0" applyAlignment="1"/>
    <xf numFmtId="49" fontId="0" fillId="0" borderId="2" xfId="0" applyNumberFormat="1" applyFill="1" applyBorder="1" applyAlignment="1">
      <alignment horizontal="left"/>
    </xf>
    <xf numFmtId="5" fontId="0" fillId="0" borderId="2" xfId="0" applyNumberFormat="1" applyFill="1" applyBorder="1" applyAlignment="1">
      <alignment horizontal="center"/>
    </xf>
    <xf numFmtId="0" fontId="0" fillId="0" borderId="2" xfId="0" applyFill="1" applyBorder="1"/>
    <xf numFmtId="5" fontId="4" fillId="0" borderId="2" xfId="0" applyNumberFormat="1" applyFont="1" applyFill="1" applyBorder="1" applyAlignment="1">
      <alignment horizontal="center"/>
    </xf>
    <xf numFmtId="49" fontId="0" fillId="0" borderId="0" xfId="0" applyNumberFormat="1" applyFont="1" applyFill="1" applyBorder="1" applyAlignment="1">
      <alignment horizontal="left"/>
    </xf>
    <xf numFmtId="165" fontId="0" fillId="0" borderId="0" xfId="0" applyNumberFormat="1" applyFill="1" applyBorder="1" applyAlignment="1">
      <alignment horizontal="center"/>
    </xf>
    <xf numFmtId="164" fontId="0" fillId="0" borderId="0" xfId="0" applyNumberFormat="1" applyFill="1" applyAlignment="1">
      <alignment horizontal="center"/>
    </xf>
    <xf numFmtId="0" fontId="3" fillId="0" borderId="0" xfId="0" applyFont="1" applyFill="1"/>
    <xf numFmtId="0" fontId="0" fillId="0" borderId="0" xfId="0" applyBorder="1"/>
    <xf numFmtId="0" fontId="3" fillId="0" borderId="0" xfId="1" applyFont="1" applyFill="1" applyBorder="1" applyAlignment="1" applyProtection="1">
      <alignment horizontal="right"/>
      <protection locked="0"/>
    </xf>
    <xf numFmtId="0" fontId="0" fillId="0" borderId="2" xfId="1" applyFont="1" applyFill="1" applyBorder="1" applyAlignment="1" applyProtection="1">
      <alignment horizontal="left"/>
      <protection locked="0"/>
    </xf>
    <xf numFmtId="0" fontId="0" fillId="0" borderId="1" xfId="0" applyBorder="1" applyAlignment="1" applyProtection="1">
      <alignment horizontal="center"/>
      <protection hidden="1"/>
    </xf>
    <xf numFmtId="164" fontId="0" fillId="0" borderId="1" xfId="0" applyNumberFormat="1" applyBorder="1" applyAlignment="1" applyProtection="1">
      <alignment horizontal="center"/>
      <protection hidden="1"/>
    </xf>
    <xf numFmtId="0" fontId="3" fillId="0" borderId="2" xfId="0" applyFont="1" applyBorder="1" applyAlignment="1" applyProtection="1">
      <alignment horizontal="left"/>
      <protection hidden="1"/>
    </xf>
    <xf numFmtId="164" fontId="0" fillId="0" borderId="2" xfId="0" applyNumberFormat="1" applyBorder="1" applyAlignment="1" applyProtection="1">
      <alignment horizontal="center"/>
      <protection hidden="1"/>
    </xf>
    <xf numFmtId="0" fontId="0" fillId="0" borderId="2" xfId="0" applyBorder="1" applyAlignment="1" applyProtection="1">
      <alignment horizontal="left"/>
      <protection hidden="1"/>
    </xf>
    <xf numFmtId="0" fontId="0" fillId="0" borderId="0" xfId="0" applyProtection="1">
      <protection hidden="1"/>
    </xf>
    <xf numFmtId="0" fontId="3" fillId="0" borderId="2" xfId="0" applyFont="1" applyFill="1" applyBorder="1" applyAlignment="1" applyProtection="1">
      <alignment horizontal="left"/>
      <protection hidden="1"/>
    </xf>
    <xf numFmtId="164" fontId="0" fillId="0" borderId="2" xfId="0" applyNumberFormat="1" applyFill="1" applyBorder="1" applyAlignment="1" applyProtection="1">
      <alignment horizontal="center"/>
      <protection hidden="1"/>
    </xf>
    <xf numFmtId="0" fontId="3" fillId="0" borderId="0" xfId="0" applyFont="1" applyFill="1" applyBorder="1" applyAlignment="1" applyProtection="1">
      <alignment horizontal="left"/>
      <protection hidden="1"/>
    </xf>
    <xf numFmtId="164" fontId="0" fillId="0" borderId="0" xfId="0" applyNumberFormat="1" applyBorder="1" applyAlignment="1" applyProtection="1">
      <alignment horizontal="center"/>
      <protection hidden="1"/>
    </xf>
    <xf numFmtId="0" fontId="4" fillId="0" borderId="11" xfId="1" applyFont="1" applyBorder="1"/>
    <xf numFmtId="3" fontId="4" fillId="0" borderId="11" xfId="1" applyNumberFormat="1" applyFont="1" applyBorder="1"/>
    <xf numFmtId="3" fontId="4" fillId="0" borderId="12" xfId="1" applyNumberFormat="1" applyFont="1" applyBorder="1"/>
    <xf numFmtId="0" fontId="3" fillId="0" borderId="13" xfId="0" applyFont="1" applyBorder="1"/>
    <xf numFmtId="3" fontId="3" fillId="0" borderId="13" xfId="0" applyNumberFormat="1" applyFont="1" applyBorder="1"/>
    <xf numFmtId="3" fontId="4" fillId="0" borderId="14" xfId="0" applyNumberFormat="1" applyFont="1" applyBorder="1"/>
    <xf numFmtId="0" fontId="3" fillId="0" borderId="13" xfId="1" applyBorder="1"/>
    <xf numFmtId="0" fontId="3" fillId="0" borderId="13" xfId="1" applyFont="1" applyBorder="1"/>
    <xf numFmtId="3" fontId="3" fillId="0" borderId="13" xfId="1" applyNumberFormat="1" applyBorder="1"/>
    <xf numFmtId="3" fontId="4" fillId="0" borderId="7" xfId="1" applyNumberFormat="1" applyFont="1" applyBorder="1"/>
    <xf numFmtId="0" fontId="0" fillId="0" borderId="12" xfId="0" applyBorder="1"/>
    <xf numFmtId="0" fontId="3" fillId="0" borderId="12" xfId="1" applyFont="1" applyBorder="1"/>
    <xf numFmtId="0" fontId="3" fillId="0" borderId="12" xfId="1" applyBorder="1"/>
    <xf numFmtId="3" fontId="3" fillId="0" borderId="12" xfId="1" applyNumberFormat="1" applyBorder="1"/>
    <xf numFmtId="0" fontId="4" fillId="0" borderId="1" xfId="1" applyFont="1" applyBorder="1"/>
    <xf numFmtId="0" fontId="3" fillId="0" borderId="9" xfId="1" applyBorder="1"/>
    <xf numFmtId="3" fontId="4" fillId="0" borderId="1" xfId="1" applyNumberFormat="1" applyFont="1" applyBorder="1"/>
    <xf numFmtId="3" fontId="4" fillId="0" borderId="2" xfId="1" applyNumberFormat="1" applyFont="1" applyBorder="1"/>
    <xf numFmtId="0" fontId="3" fillId="0" borderId="0" xfId="1" applyBorder="1"/>
    <xf numFmtId="3" fontId="4" fillId="0" borderId="13" xfId="1" applyNumberFormat="1" applyFont="1" applyBorder="1"/>
    <xf numFmtId="0" fontId="0" fillId="0" borderId="13" xfId="0" applyBorder="1"/>
    <xf numFmtId="3" fontId="0" fillId="0" borderId="13" xfId="0" applyNumberFormat="1" applyBorder="1"/>
    <xf numFmtId="0" fontId="0" fillId="0" borderId="7" xfId="0" applyBorder="1"/>
    <xf numFmtId="0" fontId="3" fillId="0" borderId="15" xfId="1" applyFont="1" applyBorder="1"/>
    <xf numFmtId="0" fontId="3" fillId="0" borderId="15" xfId="1" applyBorder="1"/>
    <xf numFmtId="3" fontId="3" fillId="0" borderId="15" xfId="1" applyNumberFormat="1" applyBorder="1"/>
    <xf numFmtId="3" fontId="4" fillId="0" borderId="15" xfId="1" applyNumberFormat="1" applyFont="1" applyBorder="1"/>
    <xf numFmtId="0" fontId="3" fillId="0" borderId="12" xfId="0" applyFont="1" applyBorder="1"/>
    <xf numFmtId="0" fontId="3" fillId="0" borderId="16" xfId="1" applyFont="1" applyBorder="1"/>
    <xf numFmtId="0" fontId="3" fillId="0" borderId="16" xfId="1" applyBorder="1"/>
    <xf numFmtId="3" fontId="3" fillId="0" borderId="16" xfId="1" applyNumberFormat="1" applyBorder="1"/>
    <xf numFmtId="3" fontId="4" fillId="0" borderId="16" xfId="1" applyNumberFormat="1" applyFont="1" applyBorder="1"/>
    <xf numFmtId="0" fontId="4" fillId="0" borderId="17" xfId="1" applyFont="1" applyBorder="1"/>
    <xf numFmtId="164" fontId="4" fillId="0" borderId="0" xfId="1" applyNumberFormat="1" applyFont="1" applyAlignment="1">
      <alignment horizontal="center"/>
    </xf>
    <xf numFmtId="0" fontId="4" fillId="0" borderId="2" xfId="1" applyFont="1" applyBorder="1"/>
    <xf numFmtId="164" fontId="0" fillId="0" borderId="9" xfId="0" applyNumberFormat="1" applyBorder="1" applyAlignment="1">
      <alignment horizontal="center"/>
    </xf>
    <xf numFmtId="6" fontId="5" fillId="0" borderId="0" xfId="1" applyNumberFormat="1" applyFont="1" applyAlignment="1">
      <alignment horizontal="center"/>
    </xf>
    <xf numFmtId="0" fontId="4" fillId="0" borderId="0" xfId="0" applyFont="1"/>
    <xf numFmtId="164" fontId="4" fillId="0" borderId="0" xfId="0" applyNumberFormat="1" applyFont="1" applyAlignment="1">
      <alignment horizontal="center"/>
    </xf>
    <xf numFmtId="0" fontId="5" fillId="0" borderId="0" xfId="1" applyFont="1" applyAlignment="1">
      <alignment wrapText="1"/>
    </xf>
    <xf numFmtId="0" fontId="0" fillId="0" borderId="0" xfId="1" applyFont="1" applyAlignment="1"/>
    <xf numFmtId="3" fontId="4" fillId="0" borderId="0" xfId="1" applyNumberFormat="1" applyFont="1" applyBorder="1"/>
    <xf numFmtId="3" fontId="4" fillId="0" borderId="0" xfId="0" applyNumberFormat="1" applyFont="1" applyBorder="1"/>
    <xf numFmtId="164" fontId="4" fillId="0" borderId="0" xfId="1" applyNumberFormat="1" applyFont="1" applyFill="1" applyBorder="1" applyAlignment="1">
      <alignment horizontal="center"/>
    </xf>
    <xf numFmtId="164" fontId="3" fillId="0" borderId="0" xfId="1" applyNumberFormat="1" applyBorder="1" applyAlignment="1">
      <alignment horizontal="center"/>
    </xf>
    <xf numFmtId="166" fontId="3" fillId="0" borderId="0" xfId="1" applyNumberFormat="1" applyAlignment="1">
      <alignment horizontal="center"/>
    </xf>
    <xf numFmtId="0" fontId="3" fillId="0" borderId="17" xfId="1" applyBorder="1"/>
    <xf numFmtId="164" fontId="3" fillId="0" borderId="0" xfId="0" applyNumberFormat="1" applyFont="1" applyAlignment="1">
      <alignment horizontal="center"/>
    </xf>
    <xf numFmtId="164" fontId="3" fillId="0" borderId="9" xfId="0" applyNumberFormat="1" applyFont="1" applyBorder="1" applyAlignment="1">
      <alignment horizontal="center"/>
    </xf>
    <xf numFmtId="0" fontId="3" fillId="0" borderId="0" xfId="13" applyFont="1" applyFill="1" applyAlignment="1" applyProtection="1">
      <alignment horizontal="center"/>
      <protection hidden="1"/>
    </xf>
    <xf numFmtId="0" fontId="3" fillId="0" borderId="0" xfId="13" applyFont="1" applyFill="1" applyBorder="1" applyAlignment="1" applyProtection="1">
      <alignment horizontal="center"/>
      <protection hidden="1"/>
    </xf>
    <xf numFmtId="0" fontId="0" fillId="0" borderId="0" xfId="0" applyFill="1" applyAlignment="1" applyProtection="1">
      <alignment horizontal="center"/>
      <protection hidden="1"/>
    </xf>
    <xf numFmtId="164" fontId="3" fillId="0" borderId="0" xfId="13" applyNumberFormat="1" applyFont="1" applyFill="1" applyAlignment="1" applyProtection="1">
      <alignment horizontal="center"/>
      <protection hidden="1"/>
    </xf>
    <xf numFmtId="164" fontId="3" fillId="0" borderId="0" xfId="13" applyNumberFormat="1" applyFont="1" applyFill="1" applyBorder="1" applyAlignment="1" applyProtection="1">
      <alignment horizontal="center"/>
      <protection hidden="1"/>
    </xf>
    <xf numFmtId="164" fontId="3" fillId="0" borderId="9" xfId="13" applyNumberFormat="1" applyFont="1" applyFill="1" applyBorder="1" applyAlignment="1" applyProtection="1">
      <alignment horizontal="center"/>
      <protection hidden="1"/>
    </xf>
    <xf numFmtId="164" fontId="3" fillId="0" borderId="0" xfId="0" applyNumberFormat="1" applyFont="1" applyBorder="1" applyAlignment="1">
      <alignment horizontal="center"/>
    </xf>
    <xf numFmtId="0" fontId="3" fillId="0" borderId="0" xfId="13" applyFont="1" applyAlignment="1" applyProtection="1">
      <alignment horizontal="center"/>
    </xf>
    <xf numFmtId="0" fontId="3" fillId="0" borderId="0" xfId="13" applyFont="1" applyBorder="1" applyAlignment="1" applyProtection="1">
      <alignment horizontal="center"/>
    </xf>
    <xf numFmtId="0" fontId="0" fillId="0" borderId="0" xfId="0" applyAlignment="1" applyProtection="1">
      <alignment horizontal="center"/>
    </xf>
    <xf numFmtId="164" fontId="0" fillId="0" borderId="0" xfId="0" applyNumberFormat="1" applyAlignment="1" applyProtection="1">
      <alignment horizontal="center"/>
    </xf>
    <xf numFmtId="164" fontId="0" fillId="0" borderId="9" xfId="0" applyNumberFormat="1" applyBorder="1" applyAlignment="1" applyProtection="1">
      <alignment horizontal="center"/>
    </xf>
    <xf numFmtId="0" fontId="3" fillId="0" borderId="0" xfId="13" applyFont="1" applyProtection="1"/>
    <xf numFmtId="0" fontId="0" fillId="0" borderId="0" xfId="13" applyFont="1" applyProtection="1"/>
    <xf numFmtId="164" fontId="3" fillId="0" borderId="10" xfId="13" applyNumberFormat="1" applyFont="1" applyBorder="1" applyAlignment="1" applyProtection="1">
      <alignment horizontal="center"/>
    </xf>
    <xf numFmtId="164" fontId="4" fillId="0" borderId="18" xfId="13" applyNumberFormat="1" applyFont="1" applyBorder="1" applyAlignment="1" applyProtection="1">
      <alignment horizontal="center"/>
    </xf>
    <xf numFmtId="0" fontId="0" fillId="0" borderId="0" xfId="0" applyAlignment="1">
      <alignment horizontal="right"/>
    </xf>
    <xf numFmtId="0" fontId="4" fillId="0" borderId="0" xfId="0" applyFont="1" applyAlignment="1" applyProtection="1">
      <alignment horizontal="right"/>
    </xf>
    <xf numFmtId="0" fontId="4" fillId="0" borderId="0" xfId="0" applyFont="1" applyAlignment="1" applyProtection="1">
      <alignment horizontal="center"/>
    </xf>
    <xf numFmtId="0" fontId="3" fillId="0" borderId="0" xfId="13" applyFont="1" applyProtection="1">
      <protection hidden="1"/>
    </xf>
    <xf numFmtId="0" fontId="0" fillId="0" borderId="0" xfId="13" applyFont="1" applyProtection="1">
      <protection hidden="1"/>
    </xf>
    <xf numFmtId="0" fontId="4" fillId="0" borderId="19" xfId="13" applyFont="1" applyFill="1" applyBorder="1" applyAlignment="1" applyProtection="1">
      <alignment horizontal="left"/>
      <protection hidden="1"/>
    </xf>
    <xf numFmtId="0" fontId="4" fillId="0" borderId="20" xfId="0" applyFont="1" applyFill="1" applyBorder="1" applyAlignment="1" applyProtection="1">
      <alignment horizontal="center"/>
      <protection hidden="1"/>
    </xf>
    <xf numFmtId="3" fontId="3" fillId="0" borderId="22" xfId="13" applyNumberFormat="1" applyFont="1" applyFill="1" applyBorder="1" applyAlignment="1" applyProtection="1">
      <alignment horizontal="center"/>
      <protection hidden="1"/>
    </xf>
    <xf numFmtId="0" fontId="0" fillId="0" borderId="21" xfId="13" applyFont="1" applyFill="1" applyBorder="1" applyAlignment="1" applyProtection="1">
      <alignment horizontal="left"/>
      <protection hidden="1"/>
    </xf>
    <xf numFmtId="0" fontId="4" fillId="0" borderId="0" xfId="13" applyFont="1" applyProtection="1">
      <protection hidden="1"/>
    </xf>
    <xf numFmtId="0" fontId="4" fillId="0" borderId="1" xfId="0" applyFont="1" applyBorder="1" applyAlignment="1">
      <alignment horizontal="left" vertical="center" wrapText="1"/>
    </xf>
    <xf numFmtId="164" fontId="4" fillId="0" borderId="1" xfId="0" applyNumberFormat="1" applyFont="1" applyBorder="1" applyAlignment="1">
      <alignment horizontal="center" vertical="center" wrapText="1"/>
    </xf>
    <xf numFmtId="0" fontId="4" fillId="0" borderId="2" xfId="0" applyFont="1" applyBorder="1" applyAlignment="1">
      <alignment horizontal="left" vertical="center" wrapText="1"/>
    </xf>
    <xf numFmtId="164" fontId="4" fillId="0" borderId="2" xfId="0" applyNumberFormat="1" applyFont="1" applyBorder="1" applyAlignment="1">
      <alignment vertical="center"/>
    </xf>
    <xf numFmtId="0" fontId="4" fillId="0" borderId="0" xfId="13" applyFont="1" applyAlignment="1" applyProtection="1">
      <alignment vertical="center"/>
      <protection hidden="1"/>
    </xf>
    <xf numFmtId="0" fontId="4" fillId="0" borderId="0" xfId="13" applyFont="1" applyAlignment="1" applyProtection="1">
      <alignment horizontal="center" vertical="center"/>
      <protection hidden="1"/>
    </xf>
    <xf numFmtId="164" fontId="4" fillId="0" borderId="9" xfId="0" applyNumberFormat="1" applyFont="1" applyFill="1" applyBorder="1" applyAlignment="1" applyProtection="1">
      <alignment horizontal="center"/>
      <protection hidden="1"/>
    </xf>
    <xf numFmtId="0" fontId="3" fillId="0" borderId="0" xfId="0" applyFont="1" applyFill="1" applyAlignment="1" applyProtection="1">
      <alignment horizontal="left"/>
      <protection hidden="1"/>
    </xf>
    <xf numFmtId="164" fontId="0" fillId="0" borderId="0" xfId="0" applyNumberFormat="1" applyFont="1" applyFill="1" applyBorder="1" applyAlignment="1" applyProtection="1">
      <protection hidden="1"/>
    </xf>
    <xf numFmtId="0" fontId="0" fillId="0" borderId="0" xfId="0" applyAlignment="1">
      <alignment horizontal="center"/>
    </xf>
    <xf numFmtId="164" fontId="4" fillId="0" borderId="0" xfId="0" applyNumberFormat="1" applyFont="1" applyFill="1" applyBorder="1" applyAlignment="1" applyProtection="1">
      <protection hidden="1"/>
    </xf>
    <xf numFmtId="0" fontId="4" fillId="0" borderId="0" xfId="0" applyFont="1" applyAlignment="1">
      <alignment horizontal="center"/>
    </xf>
    <xf numFmtId="0" fontId="16" fillId="0" borderId="0" xfId="0" applyFont="1"/>
    <xf numFmtId="164" fontId="4" fillId="0" borderId="9" xfId="0" applyNumberFormat="1" applyFont="1" applyBorder="1" applyAlignment="1">
      <alignment horizontal="center"/>
    </xf>
    <xf numFmtId="164" fontId="4" fillId="0" borderId="0" xfId="0" applyNumberFormat="1" applyFont="1" applyBorder="1" applyAlignment="1">
      <alignment horizontal="center"/>
    </xf>
    <xf numFmtId="0" fontId="0" fillId="0" borderId="23" xfId="13" applyFont="1" applyFill="1" applyBorder="1" applyAlignment="1" applyProtection="1">
      <alignment horizontal="left"/>
      <protection hidden="1"/>
    </xf>
    <xf numFmtId="3" fontId="3" fillId="0" borderId="24" xfId="13" applyNumberFormat="1" applyFont="1" applyFill="1" applyBorder="1" applyAlignment="1" applyProtection="1">
      <alignment horizontal="center"/>
      <protection hidden="1"/>
    </xf>
    <xf numFmtId="0" fontId="4" fillId="0" borderId="19" xfId="0" applyFont="1" applyBorder="1"/>
    <xf numFmtId="0" fontId="4" fillId="0" borderId="20" xfId="0" applyFont="1" applyBorder="1" applyAlignment="1">
      <alignment horizontal="center"/>
    </xf>
    <xf numFmtId="0" fontId="0" fillId="0" borderId="21" xfId="0" applyBorder="1"/>
    <xf numFmtId="164" fontId="0" fillId="0" borderId="22" xfId="0" applyNumberFormat="1" applyBorder="1" applyAlignment="1">
      <alignment horizontal="center"/>
    </xf>
    <xf numFmtId="0" fontId="0" fillId="0" borderId="2" xfId="0" applyFont="1" applyBorder="1"/>
    <xf numFmtId="0" fontId="3" fillId="0" borderId="21" xfId="0" applyFont="1" applyBorder="1"/>
    <xf numFmtId="0" fontId="0" fillId="0" borderId="22" xfId="0" applyBorder="1" applyAlignment="1">
      <alignment horizontal="center"/>
    </xf>
    <xf numFmtId="0" fontId="0" fillId="0" borderId="23" xfId="0" applyBorder="1"/>
    <xf numFmtId="0" fontId="4" fillId="0" borderId="24" xfId="0" applyFont="1" applyBorder="1" applyAlignment="1">
      <alignment horizontal="center"/>
    </xf>
    <xf numFmtId="0" fontId="4" fillId="0" borderId="23" xfId="0" applyFont="1" applyBorder="1"/>
    <xf numFmtId="0" fontId="3" fillId="0" borderId="0" xfId="13" applyFont="1" applyFill="1" applyProtection="1">
      <protection hidden="1"/>
    </xf>
    <xf numFmtId="0" fontId="0" fillId="0" borderId="0" xfId="13" applyFont="1" applyFill="1" applyProtection="1">
      <protection hidden="1"/>
    </xf>
    <xf numFmtId="0" fontId="4" fillId="0" borderId="0" xfId="0" applyFont="1" applyAlignment="1">
      <alignment horizontal="left"/>
    </xf>
    <xf numFmtId="0" fontId="0" fillId="0" borderId="0" xfId="0" applyAlignment="1">
      <alignment horizontal="left"/>
    </xf>
    <xf numFmtId="166" fontId="3" fillId="0" borderId="0" xfId="13" applyNumberFormat="1" applyFont="1" applyFill="1" applyBorder="1" applyAlignment="1" applyProtection="1">
      <alignment horizontal="center"/>
      <protection hidden="1"/>
    </xf>
    <xf numFmtId="166" fontId="0" fillId="0" borderId="13" xfId="0" applyNumberFormat="1" applyFont="1" applyBorder="1" applyAlignment="1">
      <alignment horizontal="center"/>
    </xf>
    <xf numFmtId="164" fontId="0" fillId="0" borderId="13" xfId="0" applyNumberFormat="1" applyFont="1" applyBorder="1" applyAlignment="1">
      <alignment horizontal="center"/>
    </xf>
    <xf numFmtId="164" fontId="4" fillId="0" borderId="0" xfId="0" applyNumberFormat="1" applyFont="1" applyBorder="1" applyAlignment="1">
      <alignment vertical="center"/>
    </xf>
    <xf numFmtId="0" fontId="3" fillId="0" borderId="0" xfId="0" applyFont="1" applyBorder="1" applyAlignment="1" applyProtection="1">
      <alignment horizontal="left"/>
      <protection hidden="1"/>
    </xf>
    <xf numFmtId="0" fontId="0" fillId="0" borderId="0" xfId="0" applyBorder="1" applyAlignment="1" applyProtection="1">
      <alignment horizontal="left"/>
      <protection hidden="1"/>
    </xf>
    <xf numFmtId="0" fontId="0" fillId="0" borderId="0" xfId="0" applyBorder="1" applyProtection="1">
      <protection hidden="1"/>
    </xf>
    <xf numFmtId="0" fontId="3" fillId="0" borderId="2" xfId="1" applyBorder="1"/>
    <xf numFmtId="0" fontId="0" fillId="0" borderId="2" xfId="1" applyFont="1" applyBorder="1"/>
    <xf numFmtId="0" fontId="3" fillId="0" borderId="2" xfId="1" applyFont="1" applyBorder="1"/>
    <xf numFmtId="164" fontId="0" fillId="0" borderId="24" xfId="0" applyNumberFormat="1" applyBorder="1" applyAlignment="1">
      <alignment horizontal="center"/>
    </xf>
    <xf numFmtId="0" fontId="0" fillId="0" borderId="0" xfId="0" applyAlignment="1">
      <alignment wrapText="1"/>
    </xf>
    <xf numFmtId="164" fontId="3" fillId="0" borderId="0" xfId="1" applyNumberFormat="1" applyFill="1" applyBorder="1" applyAlignment="1">
      <alignment horizontal="center"/>
    </xf>
    <xf numFmtId="166" fontId="3" fillId="0" borderId="0" xfId="1" applyNumberFormat="1" applyBorder="1" applyAlignment="1">
      <alignment horizontal="center"/>
    </xf>
    <xf numFmtId="0" fontId="4" fillId="0" borderId="0" xfId="0" applyFont="1" applyAlignment="1">
      <alignment vertical="center"/>
    </xf>
    <xf numFmtId="164" fontId="4" fillId="0" borderId="0" xfId="0" applyNumberFormat="1" applyFont="1" applyAlignment="1">
      <alignment horizontal="center" vertical="center"/>
    </xf>
    <xf numFmtId="166" fontId="3" fillId="0" borderId="0" xfId="0" applyNumberFormat="1" applyFont="1" applyAlignment="1">
      <alignment horizontal="center"/>
    </xf>
    <xf numFmtId="164" fontId="0" fillId="0" borderId="0" xfId="0" applyNumberFormat="1" applyAlignment="1">
      <alignment horizontal="left"/>
    </xf>
    <xf numFmtId="1" fontId="3" fillId="0" borderId="0" xfId="13" applyNumberFormat="1" applyFont="1" applyFill="1" applyAlignment="1" applyProtection="1">
      <alignment horizontal="center"/>
      <protection hidden="1"/>
    </xf>
    <xf numFmtId="1" fontId="3" fillId="0" borderId="0" xfId="13" applyNumberFormat="1" applyFont="1" applyFill="1" applyBorder="1" applyAlignment="1" applyProtection="1">
      <alignment horizontal="center"/>
      <protection hidden="1"/>
    </xf>
    <xf numFmtId="1" fontId="15" fillId="0" borderId="0" xfId="1" applyNumberFormat="1" applyFont="1" applyBorder="1" applyAlignment="1">
      <alignment horizontal="center"/>
    </xf>
    <xf numFmtId="1" fontId="0" fillId="0" borderId="0" xfId="0" applyNumberFormat="1" applyFont="1" applyFill="1" applyBorder="1" applyAlignment="1" applyProtection="1">
      <protection hidden="1"/>
    </xf>
    <xf numFmtId="1" fontId="0" fillId="0" borderId="0" xfId="0" applyNumberFormat="1" applyFont="1"/>
    <xf numFmtId="1" fontId="3" fillId="0" borderId="0" xfId="13" applyNumberFormat="1" applyFont="1" applyAlignment="1" applyProtection="1">
      <alignment horizontal="center" vertical="center"/>
      <protection hidden="1"/>
    </xf>
    <xf numFmtId="1" fontId="0" fillId="0" borderId="0" xfId="0" applyNumberFormat="1" applyFont="1" applyFill="1" applyBorder="1" applyAlignment="1" applyProtection="1">
      <alignment horizontal="center"/>
      <protection hidden="1"/>
    </xf>
    <xf numFmtId="1" fontId="0" fillId="0" borderId="0" xfId="0" applyNumberFormat="1" applyFont="1" applyBorder="1" applyAlignment="1">
      <alignment horizontal="center"/>
    </xf>
    <xf numFmtId="1" fontId="0" fillId="0" borderId="0" xfId="0" applyNumberFormat="1" applyFont="1" applyAlignment="1">
      <alignment horizontal="center"/>
    </xf>
    <xf numFmtId="1" fontId="0" fillId="0" borderId="4" xfId="0" applyNumberFormat="1" applyFont="1" applyBorder="1"/>
    <xf numFmtId="1" fontId="0" fillId="0" borderId="0" xfId="0" applyNumberFormat="1" applyFont="1" applyAlignment="1">
      <alignment horizontal="left"/>
    </xf>
    <xf numFmtId="1" fontId="0" fillId="0" borderId="0" xfId="0" applyNumberFormat="1" applyFont="1" applyFill="1" applyAlignment="1" applyProtection="1">
      <alignment horizontal="left"/>
      <protection hidden="1"/>
    </xf>
    <xf numFmtId="1" fontId="3" fillId="0" borderId="0" xfId="13" applyNumberFormat="1" applyFont="1" applyProtection="1">
      <protection hidden="1"/>
    </xf>
    <xf numFmtId="0" fontId="0" fillId="0" borderId="0" xfId="0" applyAlignment="1">
      <alignment horizontal="left" vertical="center" wrapText="1"/>
    </xf>
    <xf numFmtId="0" fontId="3" fillId="0" borderId="0" xfId="0" applyFont="1" applyAlignment="1">
      <alignment vertical="center" wrapText="1"/>
    </xf>
    <xf numFmtId="166" fontId="0" fillId="0" borderId="0" xfId="0" applyNumberFormat="1" applyAlignment="1">
      <alignment horizontal="center"/>
    </xf>
    <xf numFmtId="3" fontId="0" fillId="0" borderId="0" xfId="0" applyNumberFormat="1" applyAlignment="1">
      <alignment horizontal="left"/>
    </xf>
    <xf numFmtId="3" fontId="0" fillId="0" borderId="0" xfId="0" applyNumberFormat="1" applyAlignment="1">
      <alignment horizontal="center"/>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wrapText="1"/>
    </xf>
    <xf numFmtId="0" fontId="0" fillId="0" borderId="0" xfId="0" applyAlignment="1">
      <alignment horizontal="center"/>
    </xf>
    <xf numFmtId="0" fontId="0" fillId="0" borderId="0" xfId="0" applyAlignment="1">
      <alignment horizontal="left" vertical="center" wrapText="1"/>
    </xf>
    <xf numFmtId="164" fontId="5" fillId="0" borderId="0" xfId="0" applyNumberFormat="1" applyFont="1" applyAlignment="1">
      <alignment horizontal="center"/>
    </xf>
    <xf numFmtId="164" fontId="17" fillId="0" borderId="0" xfId="0" applyNumberFormat="1" applyFont="1" applyAlignment="1">
      <alignment horizontal="center"/>
    </xf>
    <xf numFmtId="0" fontId="5" fillId="0" borderId="0" xfId="0" applyFont="1"/>
    <xf numFmtId="0" fontId="4" fillId="0" borderId="21" xfId="0" applyFont="1" applyBorder="1"/>
    <xf numFmtId="164" fontId="4" fillId="0" borderId="22" xfId="0" applyNumberFormat="1" applyFont="1" applyBorder="1" applyAlignment="1">
      <alignment horizontal="center"/>
    </xf>
    <xf numFmtId="164" fontId="4" fillId="0" borderId="24" xfId="0" applyNumberFormat="1" applyFont="1" applyBorder="1" applyAlignment="1">
      <alignment horizontal="center"/>
    </xf>
    <xf numFmtId="1" fontId="0" fillId="0" borderId="0" xfId="0" applyNumberFormat="1" applyFont="1" applyFill="1" applyAlignment="1">
      <alignment horizontal="center"/>
    </xf>
    <xf numFmtId="164" fontId="5" fillId="0" borderId="9" xfId="0" applyNumberFormat="1" applyFont="1" applyBorder="1" applyAlignment="1">
      <alignment horizontal="center"/>
    </xf>
    <xf numFmtId="164" fontId="5" fillId="0" borderId="0" xfId="0" applyNumberFormat="1" applyFont="1" applyBorder="1" applyAlignment="1">
      <alignment horizontal="center"/>
    </xf>
    <xf numFmtId="164" fontId="3" fillId="0" borderId="3" xfId="0" applyNumberFormat="1" applyFont="1" applyBorder="1" applyAlignment="1">
      <alignment horizontal="center"/>
    </xf>
    <xf numFmtId="0" fontId="5" fillId="0" borderId="0" xfId="0" applyFont="1" applyAlignment="1">
      <alignment horizontal="center"/>
    </xf>
    <xf numFmtId="166" fontId="3" fillId="0" borderId="3" xfId="0" applyNumberFormat="1" applyFont="1" applyBorder="1" applyAlignment="1">
      <alignment horizontal="center"/>
    </xf>
    <xf numFmtId="166" fontId="0" fillId="0" borderId="0" xfId="0" applyNumberFormat="1" applyAlignment="1" applyProtection="1">
      <alignment horizontal="center"/>
    </xf>
    <xf numFmtId="0" fontId="0" fillId="0" borderId="0" xfId="0" applyAlignment="1">
      <alignment horizontal="center"/>
    </xf>
    <xf numFmtId="0" fontId="0" fillId="0" borderId="0" xfId="0" applyAlignment="1">
      <alignment horizontal="left" vertical="center" wrapText="1"/>
    </xf>
    <xf numFmtId="0" fontId="0" fillId="0" borderId="0" xfId="0" applyAlignment="1">
      <alignment horizontal="center"/>
    </xf>
    <xf numFmtId="0" fontId="0" fillId="0" borderId="0" xfId="0" applyAlignment="1">
      <alignment horizontal="left" vertical="center" wrapText="1"/>
    </xf>
    <xf numFmtId="0" fontId="4" fillId="0" borderId="0" xfId="13" applyFont="1" applyAlignment="1" applyProtection="1">
      <alignment horizontal="center" vertical="center" wrapText="1"/>
      <protection hidden="1"/>
    </xf>
    <xf numFmtId="3" fontId="4" fillId="0" borderId="24" xfId="13" applyNumberFormat="1" applyFont="1" applyFill="1" applyBorder="1" applyAlignment="1" applyProtection="1">
      <alignment horizontal="center"/>
      <protection hidden="1"/>
    </xf>
    <xf numFmtId="0" fontId="4" fillId="0" borderId="23" xfId="13" applyFont="1" applyFill="1" applyBorder="1" applyAlignment="1" applyProtection="1">
      <alignment horizontal="left"/>
      <protection hidden="1"/>
    </xf>
    <xf numFmtId="0" fontId="0" fillId="0" borderId="22" xfId="0" applyFont="1" applyFill="1" applyBorder="1" applyAlignment="1" applyProtection="1">
      <alignment horizontal="center"/>
      <protection hidden="1"/>
    </xf>
    <xf numFmtId="0" fontId="0" fillId="0" borderId="9" xfId="0" applyBorder="1" applyAlignment="1">
      <alignment horizontal="center"/>
    </xf>
    <xf numFmtId="6" fontId="0" fillId="0" borderId="0" xfId="0" applyNumberFormat="1" applyAlignment="1">
      <alignment horizontal="center"/>
    </xf>
    <xf numFmtId="6" fontId="0" fillId="0" borderId="9" xfId="0" applyNumberFormat="1" applyBorder="1" applyAlignment="1">
      <alignment horizontal="center"/>
    </xf>
    <xf numFmtId="0" fontId="0" fillId="0" borderId="17" xfId="0" applyBorder="1"/>
    <xf numFmtId="0" fontId="5" fillId="0" borderId="0" xfId="0" applyFont="1" applyAlignment="1">
      <alignment horizontal="left"/>
    </xf>
    <xf numFmtId="6" fontId="0" fillId="0" borderId="3" xfId="0" applyNumberFormat="1" applyBorder="1" applyAlignment="1">
      <alignment horizontal="center"/>
    </xf>
    <xf numFmtId="8" fontId="0" fillId="0" borderId="0" xfId="0" applyNumberFormat="1" applyAlignment="1">
      <alignment horizontal="center"/>
    </xf>
    <xf numFmtId="166" fontId="0" fillId="0" borderId="0" xfId="0" applyNumberFormat="1"/>
    <xf numFmtId="0" fontId="4" fillId="0" borderId="27" xfId="0" applyFont="1" applyBorder="1"/>
    <xf numFmtId="164" fontId="4" fillId="0" borderId="28" xfId="0" applyNumberFormat="1" applyFont="1" applyBorder="1" applyAlignment="1">
      <alignment horizontal="center"/>
    </xf>
    <xf numFmtId="0" fontId="4" fillId="0" borderId="0" xfId="13" applyFont="1" applyFill="1" applyProtection="1">
      <protection hidden="1"/>
    </xf>
    <xf numFmtId="0" fontId="4" fillId="0" borderId="0" xfId="0" applyFont="1" applyBorder="1"/>
    <xf numFmtId="0" fontId="0" fillId="0" borderId="0" xfId="0" applyAlignment="1">
      <alignment horizontal="center"/>
    </xf>
    <xf numFmtId="0" fontId="4" fillId="0" borderId="0" xfId="0" applyFont="1" applyBorder="1" applyAlignment="1">
      <alignment horizontal="left" vertical="center" wrapText="1"/>
    </xf>
    <xf numFmtId="0" fontId="0" fillId="0" borderId="0" xfId="0" applyFont="1" applyBorder="1"/>
    <xf numFmtId="0" fontId="3" fillId="0" borderId="0" xfId="1" applyFont="1" applyBorder="1"/>
    <xf numFmtId="0" fontId="0" fillId="0" borderId="0" xfId="1" applyFont="1" applyBorder="1"/>
    <xf numFmtId="0" fontId="3" fillId="0" borderId="0" xfId="13" applyFont="1" applyBorder="1" applyProtection="1">
      <protection hidden="1"/>
    </xf>
    <xf numFmtId="0" fontId="4" fillId="0" borderId="0" xfId="13" applyFont="1" applyFill="1" applyBorder="1" applyAlignment="1" applyProtection="1">
      <alignment horizontal="left"/>
      <protection hidden="1"/>
    </xf>
    <xf numFmtId="3" fontId="4" fillId="0" borderId="0" xfId="13" applyNumberFormat="1" applyFont="1" applyFill="1" applyBorder="1" applyAlignment="1" applyProtection="1">
      <alignment horizontal="center"/>
      <protection hidden="1"/>
    </xf>
    <xf numFmtId="164" fontId="3" fillId="0" borderId="2" xfId="13" applyNumberFormat="1" applyFont="1" applyFill="1" applyBorder="1" applyAlignment="1" applyProtection="1">
      <alignment horizontal="center"/>
      <protection hidden="1"/>
    </xf>
    <xf numFmtId="0" fontId="4" fillId="0" borderId="2" xfId="0" applyFont="1" applyBorder="1"/>
    <xf numFmtId="164" fontId="4" fillId="0" borderId="2" xfId="0" applyNumberFormat="1" applyFont="1" applyBorder="1" applyAlignment="1">
      <alignment horizontal="center"/>
    </xf>
    <xf numFmtId="0" fontId="0" fillId="0" borderId="0" xfId="13" applyFont="1" applyBorder="1" applyProtection="1">
      <protection hidden="1"/>
    </xf>
    <xf numFmtId="0" fontId="0" fillId="0" borderId="2" xfId="13" applyFont="1" applyFill="1" applyBorder="1" applyProtection="1">
      <protection hidden="1"/>
    </xf>
    <xf numFmtId="164" fontId="4" fillId="0" borderId="2" xfId="0" applyNumberFormat="1" applyFont="1" applyFill="1" applyBorder="1" applyAlignment="1" applyProtection="1">
      <alignment horizontal="center"/>
      <protection hidden="1"/>
    </xf>
    <xf numFmtId="0" fontId="4" fillId="0" borderId="2" xfId="13" applyFont="1" applyFill="1" applyBorder="1" applyAlignment="1" applyProtection="1">
      <alignment horizontal="left"/>
      <protection hidden="1"/>
    </xf>
    <xf numFmtId="3" fontId="4" fillId="0" borderId="2" xfId="13" applyNumberFormat="1" applyFont="1" applyFill="1" applyBorder="1" applyAlignment="1" applyProtection="1">
      <alignment horizontal="center"/>
      <protection hidden="1"/>
    </xf>
    <xf numFmtId="1" fontId="0" fillId="0" borderId="0" xfId="0" applyNumberFormat="1" applyBorder="1" applyAlignment="1">
      <alignment horizontal="center"/>
    </xf>
    <xf numFmtId="1" fontId="0" fillId="0" borderId="0" xfId="0" applyNumberFormat="1" applyAlignment="1">
      <alignment horizontal="center"/>
    </xf>
    <xf numFmtId="0" fontId="0" fillId="0" borderId="0" xfId="0" applyFont="1" applyAlignment="1">
      <alignment vertical="center" wrapText="1"/>
    </xf>
    <xf numFmtId="0" fontId="0" fillId="0" borderId="0" xfId="0" applyFill="1" applyAlignment="1">
      <alignment vertical="center" wrapText="1"/>
    </xf>
    <xf numFmtId="0" fontId="0" fillId="0" borderId="0" xfId="0" applyFill="1" applyAlignment="1">
      <alignment horizontal="left" vertical="center" wrapText="1"/>
    </xf>
    <xf numFmtId="0" fontId="0" fillId="0" borderId="0" xfId="0" applyAlignment="1">
      <alignment horizontal="center"/>
    </xf>
    <xf numFmtId="0" fontId="0" fillId="0" borderId="0" xfId="0" applyAlignment="1">
      <alignment horizontal="left" vertical="center" wrapText="1"/>
    </xf>
    <xf numFmtId="0" fontId="0" fillId="0" borderId="0" xfId="0" applyFill="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0" fillId="0" borderId="0" xfId="0" applyFill="1" applyAlignment="1">
      <alignment horizontal="left" vertical="center" wrapText="1"/>
    </xf>
    <xf numFmtId="164" fontId="17" fillId="0" borderId="0" xfId="13" applyNumberFormat="1" applyFont="1" applyFill="1" applyAlignment="1" applyProtection="1">
      <alignment horizontal="center"/>
      <protection hidden="1"/>
    </xf>
    <xf numFmtId="0" fontId="4" fillId="0" borderId="1" xfId="13" applyFont="1" applyFill="1" applyBorder="1" applyAlignment="1" applyProtection="1">
      <alignment horizontal="left"/>
      <protection hidden="1"/>
    </xf>
    <xf numFmtId="0" fontId="0" fillId="0" borderId="29" xfId="0" applyBorder="1"/>
    <xf numFmtId="0" fontId="0" fillId="0" borderId="30" xfId="0" applyBorder="1"/>
    <xf numFmtId="0" fontId="4" fillId="0" borderId="13" xfId="0" applyFont="1" applyBorder="1"/>
    <xf numFmtId="0" fontId="0" fillId="0" borderId="15" xfId="0" applyBorder="1"/>
    <xf numFmtId="0" fontId="18" fillId="0" borderId="13" xfId="0" applyFont="1" applyBorder="1"/>
    <xf numFmtId="0" fontId="0" fillId="0" borderId="11" xfId="0" applyBorder="1"/>
    <xf numFmtId="0" fontId="0" fillId="0" borderId="16" xfId="0" applyBorder="1"/>
    <xf numFmtId="0" fontId="0" fillId="0" borderId="13" xfId="0" applyFont="1" applyBorder="1"/>
    <xf numFmtId="1" fontId="3" fillId="0" borderId="0" xfId="13" applyNumberFormat="1" applyFont="1" applyFill="1" applyBorder="1" applyAlignment="1" applyProtection="1">
      <alignment horizontal="left"/>
      <protection hidden="1"/>
    </xf>
    <xf numFmtId="164" fontId="0" fillId="0" borderId="2" xfId="13" applyNumberFormat="1" applyFont="1" applyFill="1" applyBorder="1" applyAlignment="1" applyProtection="1">
      <alignment horizontal="center"/>
      <protection hidden="1"/>
    </xf>
    <xf numFmtId="0" fontId="0" fillId="0" borderId="0" xfId="0" applyAlignment="1">
      <alignment horizontal="center"/>
    </xf>
    <xf numFmtId="0" fontId="7" fillId="0" borderId="0" xfId="13" applyFont="1" applyProtection="1"/>
    <xf numFmtId="0" fontId="0" fillId="0" borderId="0" xfId="0" applyAlignment="1">
      <alignment horizontal="left" vertical="center"/>
    </xf>
    <xf numFmtId="0" fontId="0" fillId="0" borderId="0" xfId="0" applyAlignment="1">
      <alignment horizontal="center"/>
    </xf>
    <xf numFmtId="0" fontId="6" fillId="0" borderId="0" xfId="0" applyFont="1"/>
    <xf numFmtId="164" fontId="6" fillId="0" borderId="0" xfId="0" applyNumberFormat="1" applyFont="1" applyAlignment="1">
      <alignment horizontal="center"/>
    </xf>
    <xf numFmtId="0" fontId="6" fillId="0" borderId="0" xfId="0" applyFont="1" applyAlignment="1">
      <alignment horizontal="center"/>
    </xf>
    <xf numFmtId="166" fontId="6" fillId="0" borderId="0" xfId="0" applyNumberFormat="1" applyFont="1" applyAlignment="1">
      <alignment horizontal="center"/>
    </xf>
    <xf numFmtId="0" fontId="0" fillId="0" borderId="0" xfId="0" applyAlignment="1">
      <alignment horizontal="center"/>
    </xf>
    <xf numFmtId="0" fontId="0" fillId="0" borderId="0" xfId="0" applyFont="1" applyFill="1" applyAlignment="1">
      <alignment horizontal="left" vertical="center" wrapText="1"/>
    </xf>
    <xf numFmtId="0" fontId="1" fillId="0" borderId="0" xfId="15"/>
    <xf numFmtId="0" fontId="20" fillId="0" borderId="0" xfId="16" applyFont="1" applyAlignment="1"/>
    <xf numFmtId="0" fontId="3" fillId="0" borderId="0" xfId="16" applyFont="1" applyBorder="1" applyAlignment="1"/>
    <xf numFmtId="0" fontId="0" fillId="0" borderId="31" xfId="0" applyBorder="1"/>
    <xf numFmtId="0" fontId="0" fillId="0" borderId="32" xfId="0" applyBorder="1"/>
    <xf numFmtId="166" fontId="17" fillId="0" borderId="32" xfId="0" applyNumberFormat="1" applyFont="1" applyBorder="1" applyAlignment="1">
      <alignment horizontal="center"/>
    </xf>
    <xf numFmtId="0" fontId="17" fillId="0" borderId="32" xfId="0" applyFont="1" applyBorder="1"/>
    <xf numFmtId="0" fontId="17" fillId="0" borderId="33" xfId="0" applyFont="1" applyBorder="1"/>
    <xf numFmtId="0" fontId="17" fillId="0" borderId="0" xfId="0" applyFont="1"/>
    <xf numFmtId="0" fontId="3" fillId="0" borderId="2" xfId="16" applyFont="1" applyBorder="1" applyAlignment="1">
      <alignment horizontal="left" wrapText="1"/>
    </xf>
    <xf numFmtId="0" fontId="3" fillId="0" borderId="2" xfId="16" applyFont="1" applyBorder="1"/>
    <xf numFmtId="0" fontId="3" fillId="0" borderId="2" xfId="15" applyFont="1" applyFill="1" applyBorder="1" applyAlignment="1">
      <alignment horizontal="center" wrapText="1"/>
    </xf>
    <xf numFmtId="0" fontId="1" fillId="0" borderId="2" xfId="15" applyBorder="1"/>
    <xf numFmtId="0" fontId="0" fillId="0" borderId="34" xfId="0" applyBorder="1"/>
    <xf numFmtId="0" fontId="17" fillId="0" borderId="0" xfId="0" applyFont="1" applyBorder="1" applyAlignment="1">
      <alignment horizontal="center"/>
    </xf>
    <xf numFmtId="0" fontId="17" fillId="0" borderId="0" xfId="0" applyFont="1" applyBorder="1"/>
    <xf numFmtId="0" fontId="17" fillId="0" borderId="35" xfId="0" applyFont="1" applyBorder="1"/>
    <xf numFmtId="0" fontId="3" fillId="0" borderId="2" xfId="16" applyFont="1" applyBorder="1" applyAlignment="1">
      <alignment horizontal="left"/>
    </xf>
    <xf numFmtId="0" fontId="3" fillId="0" borderId="2" xfId="16" applyFont="1" applyFill="1" applyBorder="1"/>
    <xf numFmtId="164" fontId="3" fillId="0" borderId="2" xfId="16" applyNumberFormat="1" applyFont="1" applyFill="1" applyBorder="1" applyAlignment="1">
      <alignment horizontal="center"/>
    </xf>
    <xf numFmtId="164" fontId="3" fillId="0" borderId="2" xfId="16" applyNumberFormat="1" applyFont="1" applyBorder="1"/>
    <xf numFmtId="0" fontId="17" fillId="0" borderId="0" xfId="0" applyFont="1" applyBorder="1" applyAlignment="1">
      <alignment horizontal="right"/>
    </xf>
    <xf numFmtId="164" fontId="17" fillId="0" borderId="0" xfId="0" applyNumberFormat="1" applyFont="1" applyBorder="1" applyAlignment="1">
      <alignment horizontal="center"/>
    </xf>
    <xf numFmtId="164" fontId="21" fillId="0" borderId="0" xfId="0" applyNumberFormat="1" applyFont="1" applyBorder="1" applyAlignment="1">
      <alignment horizontal="center"/>
    </xf>
    <xf numFmtId="0" fontId="21" fillId="0" borderId="0" xfId="0" applyFont="1" applyBorder="1"/>
    <xf numFmtId="164" fontId="21" fillId="0" borderId="10" xfId="0" applyNumberFormat="1" applyFont="1" applyBorder="1" applyAlignment="1">
      <alignment horizontal="center"/>
    </xf>
    <xf numFmtId="164" fontId="21" fillId="0" borderId="35" xfId="0" applyNumberFormat="1" applyFont="1" applyBorder="1" applyAlignment="1">
      <alignment horizontal="center"/>
    </xf>
    <xf numFmtId="0" fontId="0" fillId="0" borderId="36" xfId="0" applyBorder="1"/>
    <xf numFmtId="0" fontId="17" fillId="0" borderId="4" xfId="0" applyFont="1" applyBorder="1"/>
    <xf numFmtId="0" fontId="17" fillId="0" borderId="37" xfId="0" applyFont="1" applyBorder="1"/>
    <xf numFmtId="164" fontId="17" fillId="0" borderId="0" xfId="0" applyNumberFormat="1" applyFont="1"/>
    <xf numFmtId="0" fontId="3" fillId="0" borderId="2" xfId="16" applyFont="1" applyFill="1" applyBorder="1" applyAlignment="1">
      <alignment horizontal="left"/>
    </xf>
    <xf numFmtId="166" fontId="17" fillId="0" borderId="0" xfId="0" applyNumberFormat="1" applyFont="1" applyAlignment="1">
      <alignment horizontal="center"/>
    </xf>
    <xf numFmtId="164" fontId="3" fillId="0" borderId="2" xfId="16" applyNumberFormat="1" applyFont="1" applyBorder="1" applyAlignment="1">
      <alignment horizontal="center"/>
    </xf>
    <xf numFmtId="164" fontId="3" fillId="0" borderId="0" xfId="16" applyNumberFormat="1" applyFont="1"/>
    <xf numFmtId="0" fontId="15" fillId="0" borderId="2" xfId="16" applyFont="1" applyFill="1" applyBorder="1"/>
    <xf numFmtId="1" fontId="17" fillId="0" borderId="0" xfId="0" applyNumberFormat="1" applyFont="1"/>
    <xf numFmtId="3" fontId="17" fillId="0" borderId="0" xfId="0" applyNumberFormat="1" applyFont="1" applyAlignment="1">
      <alignment horizontal="center"/>
    </xf>
    <xf numFmtId="0" fontId="3" fillId="0" borderId="0" xfId="16" applyFont="1" applyAlignment="1">
      <alignment horizontal="left"/>
    </xf>
    <xf numFmtId="0" fontId="3" fillId="0" borderId="0" xfId="16" applyFont="1" applyFill="1" applyBorder="1"/>
    <xf numFmtId="164" fontId="3" fillId="0" borderId="0" xfId="16" applyNumberFormat="1" applyFont="1" applyAlignment="1">
      <alignment horizontal="center"/>
    </xf>
    <xf numFmtId="164" fontId="3" fillId="0" borderId="3" xfId="16" applyNumberFormat="1" applyFont="1" applyFill="1" applyBorder="1" applyAlignment="1">
      <alignment horizontal="center"/>
    </xf>
    <xf numFmtId="0" fontId="3" fillId="0" borderId="0" xfId="16" applyFont="1" applyFill="1"/>
    <xf numFmtId="0" fontId="3" fillId="0" borderId="0" xfId="16" applyFont="1" applyFill="1" applyAlignment="1">
      <alignment horizontal="center"/>
    </xf>
    <xf numFmtId="43" fontId="0" fillId="0" borderId="0" xfId="14" applyFont="1"/>
    <xf numFmtId="10" fontId="0" fillId="2" borderId="0" xfId="0" applyNumberFormat="1" applyFill="1"/>
    <xf numFmtId="3" fontId="21" fillId="0" borderId="9" xfId="0" applyNumberFormat="1" applyFont="1" applyBorder="1" applyAlignment="1">
      <alignment horizontal="center"/>
    </xf>
    <xf numFmtId="164" fontId="21" fillId="0" borderId="9" xfId="0" applyNumberFormat="1" applyFont="1" applyBorder="1" applyAlignment="1">
      <alignment horizontal="center"/>
    </xf>
    <xf numFmtId="3" fontId="17" fillId="0" borderId="0" xfId="0" applyNumberFormat="1" applyFont="1" applyBorder="1" applyAlignment="1">
      <alignment horizontal="center"/>
    </xf>
    <xf numFmtId="3" fontId="21" fillId="0" borderId="3" xfId="0" applyNumberFormat="1" applyFont="1" applyBorder="1" applyAlignment="1">
      <alignment horizontal="center"/>
    </xf>
    <xf numFmtId="164" fontId="21" fillId="0" borderId="3" xfId="0" applyNumberFormat="1" applyFont="1" applyBorder="1" applyAlignment="1">
      <alignment horizontal="center"/>
    </xf>
    <xf numFmtId="164" fontId="21" fillId="0" borderId="0" xfId="0" applyNumberFormat="1" applyFont="1"/>
    <xf numFmtId="164" fontId="21" fillId="0" borderId="0" xfId="0" applyNumberFormat="1" applyFont="1" applyAlignment="1">
      <alignment horizontal="center"/>
    </xf>
    <xf numFmtId="166" fontId="21" fillId="0" borderId="10" xfId="0" applyNumberFormat="1" applyFont="1" applyBorder="1" applyAlignment="1">
      <alignment horizontal="center"/>
    </xf>
    <xf numFmtId="0" fontId="21" fillId="0" borderId="0" xfId="0" applyFont="1"/>
    <xf numFmtId="8" fontId="21" fillId="0" borderId="0" xfId="0" applyNumberFormat="1" applyFont="1" applyAlignment="1">
      <alignment horizontal="center"/>
    </xf>
    <xf numFmtId="166" fontId="21" fillId="3" borderId="10" xfId="0" applyNumberFormat="1" applyFont="1" applyFill="1" applyBorder="1"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left" vertical="center"/>
    </xf>
    <xf numFmtId="0" fontId="0" fillId="0" borderId="0" xfId="0" applyFont="1" applyFill="1" applyAlignment="1">
      <alignment horizontal="left" vertical="center" wrapText="1"/>
    </xf>
    <xf numFmtId="0" fontId="0" fillId="0" borderId="0" xfId="0" applyFill="1" applyAlignment="1">
      <alignment horizontal="left" vertical="center" wrapText="1"/>
    </xf>
    <xf numFmtId="0" fontId="0" fillId="0" borderId="0" xfId="0" applyFill="1" applyAlignment="1">
      <alignment vertical="center" wrapText="1"/>
    </xf>
    <xf numFmtId="1" fontId="0" fillId="0" borderId="0" xfId="0" applyNumberFormat="1" applyAlignment="1">
      <alignment horizontal="left"/>
    </xf>
    <xf numFmtId="0" fontId="0" fillId="0" borderId="0" xfId="0" applyFont="1" applyAlignment="1">
      <alignment horizontal="center"/>
    </xf>
    <xf numFmtId="164" fontId="0" fillId="0" borderId="0" xfId="0" applyNumberFormat="1" applyFont="1" applyAlignment="1">
      <alignment horizontal="center"/>
    </xf>
    <xf numFmtId="164" fontId="0" fillId="0" borderId="0" xfId="0" applyNumberFormat="1" applyAlignment="1">
      <alignment horizontal="center" vertical="center"/>
    </xf>
    <xf numFmtId="164" fontId="0" fillId="0" borderId="0" xfId="0" applyNumberFormat="1" applyFont="1" applyAlignment="1">
      <alignment horizontal="center" vertical="center"/>
    </xf>
    <xf numFmtId="0" fontId="0" fillId="0" borderId="0" xfId="0" applyAlignment="1">
      <alignment horizontal="center"/>
    </xf>
    <xf numFmtId="3" fontId="0" fillId="0" borderId="0" xfId="0" applyNumberFormat="1" applyBorder="1" applyAlignment="1">
      <alignment horizontal="left"/>
    </xf>
    <xf numFmtId="0" fontId="3" fillId="0" borderId="0" xfId="0" applyFont="1" applyAlignment="1">
      <alignment horizontal="right" wrapText="1"/>
    </xf>
    <xf numFmtId="0" fontId="0" fillId="0" borderId="0" xfId="0" applyAlignment="1">
      <alignment horizontal="center" wrapText="1"/>
    </xf>
    <xf numFmtId="164" fontId="0" fillId="0" borderId="0" xfId="0" applyNumberFormat="1" applyBorder="1" applyAlignment="1">
      <alignment horizontal="center" wrapText="1"/>
    </xf>
    <xf numFmtId="0" fontId="0" fillId="0" borderId="0" xfId="0" applyAlignment="1">
      <alignment horizontal="center"/>
    </xf>
    <xf numFmtId="0" fontId="0" fillId="0" borderId="13" xfId="0" applyFont="1" applyBorder="1" applyAlignment="1">
      <alignment horizontal="center"/>
    </xf>
    <xf numFmtId="0" fontId="0" fillId="0" borderId="0" xfId="0" applyFont="1" applyBorder="1" applyAlignment="1">
      <alignment horizontal="center"/>
    </xf>
    <xf numFmtId="0" fontId="0" fillId="0" borderId="13" xfId="0" applyBorder="1" applyAlignment="1">
      <alignment horizontal="center" wrapText="1"/>
    </xf>
    <xf numFmtId="0" fontId="0" fillId="0" borderId="0" xfId="0" applyAlignment="1">
      <alignment horizontal="left" vertical="center" wrapText="1"/>
    </xf>
    <xf numFmtId="0" fontId="0" fillId="0" borderId="0" xfId="0" applyAlignment="1">
      <alignment horizontal="left" wrapText="1"/>
    </xf>
    <xf numFmtId="0" fontId="15" fillId="0" borderId="25" xfId="1" applyFont="1" applyBorder="1" applyAlignment="1">
      <alignment horizontal="center"/>
    </xf>
    <xf numFmtId="0" fontId="15" fillId="0" borderId="26" xfId="1" applyFont="1" applyBorder="1" applyAlignment="1">
      <alignment horizontal="center"/>
    </xf>
    <xf numFmtId="0" fontId="0"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vertical="center"/>
    </xf>
    <xf numFmtId="0" fontId="4" fillId="0" borderId="0" xfId="0" applyFont="1" applyAlignment="1">
      <alignment horizontal="left" wrapText="1"/>
    </xf>
    <xf numFmtId="0" fontId="3" fillId="0" borderId="0" xfId="1" applyAlignment="1">
      <alignment horizontal="left" wrapText="1"/>
    </xf>
    <xf numFmtId="0" fontId="0" fillId="0" borderId="0" xfId="1" applyFont="1" applyAlignment="1">
      <alignment horizontal="left" wrapText="1"/>
    </xf>
    <xf numFmtId="0" fontId="0" fillId="0" borderId="0" xfId="0" applyFont="1" applyFill="1" applyAlignment="1">
      <alignment horizontal="left" vertical="center" wrapText="1"/>
    </xf>
    <xf numFmtId="0" fontId="0" fillId="0" borderId="0" xfId="0" applyFill="1" applyAlignment="1">
      <alignment horizontal="left" vertical="center" wrapText="1"/>
    </xf>
    <xf numFmtId="0" fontId="0" fillId="0" borderId="0" xfId="13" applyFont="1" applyAlignment="1" applyProtection="1">
      <alignment horizontal="left" wrapText="1"/>
      <protection hidden="1"/>
    </xf>
    <xf numFmtId="0" fontId="0" fillId="0" borderId="0" xfId="0" applyFill="1" applyAlignment="1">
      <alignment horizontal="left" vertical="center"/>
    </xf>
    <xf numFmtId="0" fontId="0" fillId="0" borderId="0" xfId="13" applyFont="1" applyAlignment="1" applyProtection="1">
      <alignment horizontal="left" vertical="center" wrapText="1"/>
      <protection hidden="1"/>
    </xf>
    <xf numFmtId="0" fontId="3" fillId="0" borderId="0" xfId="13" applyFont="1" applyAlignment="1" applyProtection="1">
      <alignment horizontal="left" vertical="center" wrapText="1"/>
      <protection hidden="1"/>
    </xf>
  </cellXfs>
  <cellStyles count="17">
    <cellStyle name="%" xfId="2"/>
    <cellStyle name="Comma" xfId="14" builtinId="3"/>
    <cellStyle name="Comma 2" xfId="3"/>
    <cellStyle name="Normal" xfId="0" builtinId="0"/>
    <cellStyle name="Normal 2" xfId="1"/>
    <cellStyle name="Normal 3" xfId="4"/>
    <cellStyle name="Normal 7" xfId="15"/>
    <cellStyle name="Normal_0242 1998-99 ESTIMATE" xfId="13"/>
    <cellStyle name="Normal_Special Schools - Band Descriptors" xfId="16"/>
    <cellStyle name="Percent 2" xfId="5"/>
    <cellStyle name="SAPBEXaggData" xfId="6"/>
    <cellStyle name="SAPBEXchaText" xfId="7"/>
    <cellStyle name="SAPBEXHLevel0" xfId="8"/>
    <cellStyle name="SAPBEXHLevel2" xfId="9"/>
    <cellStyle name="SAPBEXHLevel3" xfId="10"/>
    <cellStyle name="SAPBEXstdItemX" xfId="11"/>
    <cellStyle name="SAPBEXtitle"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1367118</xdr:colOff>
      <xdr:row>3</xdr:row>
      <xdr:rowOff>0</xdr:rowOff>
    </xdr:from>
    <xdr:to>
      <xdr:col>1</xdr:col>
      <xdr:colOff>1647265</xdr:colOff>
      <xdr:row>6</xdr:row>
      <xdr:rowOff>145676</xdr:rowOff>
    </xdr:to>
    <xdr:sp macro="" textlink="">
      <xdr:nvSpPr>
        <xdr:cNvPr id="2" name="Right Brace 1"/>
        <xdr:cNvSpPr/>
      </xdr:nvSpPr>
      <xdr:spPr>
        <a:xfrm>
          <a:off x="4493559" y="694765"/>
          <a:ext cx="280147" cy="61632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xdr:col>
      <xdr:colOff>1467971</xdr:colOff>
      <xdr:row>37</xdr:row>
      <xdr:rowOff>11206</xdr:rowOff>
    </xdr:from>
    <xdr:to>
      <xdr:col>2</xdr:col>
      <xdr:colOff>22412</xdr:colOff>
      <xdr:row>38</xdr:row>
      <xdr:rowOff>145677</xdr:rowOff>
    </xdr:to>
    <xdr:sp macro="" textlink="">
      <xdr:nvSpPr>
        <xdr:cNvPr id="3" name="Right Brace 2"/>
        <xdr:cNvSpPr/>
      </xdr:nvSpPr>
      <xdr:spPr>
        <a:xfrm>
          <a:off x="4594412" y="6499412"/>
          <a:ext cx="268941" cy="29135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xdr:col>
      <xdr:colOff>1467971</xdr:colOff>
      <xdr:row>41</xdr:row>
      <xdr:rowOff>11206</xdr:rowOff>
    </xdr:from>
    <xdr:to>
      <xdr:col>2</xdr:col>
      <xdr:colOff>22412</xdr:colOff>
      <xdr:row>42</xdr:row>
      <xdr:rowOff>145676</xdr:rowOff>
    </xdr:to>
    <xdr:sp macro="" textlink="">
      <xdr:nvSpPr>
        <xdr:cNvPr id="4" name="Right Brace 3"/>
        <xdr:cNvSpPr/>
      </xdr:nvSpPr>
      <xdr:spPr>
        <a:xfrm>
          <a:off x="4594412" y="7126941"/>
          <a:ext cx="268941" cy="29135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xdr:col>
      <xdr:colOff>1434353</xdr:colOff>
      <xdr:row>46</xdr:row>
      <xdr:rowOff>0</xdr:rowOff>
    </xdr:from>
    <xdr:to>
      <xdr:col>1</xdr:col>
      <xdr:colOff>1703294</xdr:colOff>
      <xdr:row>47</xdr:row>
      <xdr:rowOff>134471</xdr:rowOff>
    </xdr:to>
    <xdr:sp macro="" textlink="">
      <xdr:nvSpPr>
        <xdr:cNvPr id="5" name="Right Brace 4"/>
        <xdr:cNvSpPr/>
      </xdr:nvSpPr>
      <xdr:spPr>
        <a:xfrm>
          <a:off x="4560794" y="7900147"/>
          <a:ext cx="268941" cy="29135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xdr:col>
      <xdr:colOff>1467971</xdr:colOff>
      <xdr:row>50</xdr:row>
      <xdr:rowOff>11206</xdr:rowOff>
    </xdr:from>
    <xdr:to>
      <xdr:col>5</xdr:col>
      <xdr:colOff>44824</xdr:colOff>
      <xdr:row>57</xdr:row>
      <xdr:rowOff>134471</xdr:rowOff>
    </xdr:to>
    <xdr:sp macro="" textlink="">
      <xdr:nvSpPr>
        <xdr:cNvPr id="6" name="Right Brace 5"/>
        <xdr:cNvSpPr/>
      </xdr:nvSpPr>
      <xdr:spPr>
        <a:xfrm>
          <a:off x="8225118" y="8538882"/>
          <a:ext cx="291353" cy="1221442"/>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1389529</xdr:colOff>
      <xdr:row>7</xdr:row>
      <xdr:rowOff>0</xdr:rowOff>
    </xdr:from>
    <xdr:to>
      <xdr:col>1</xdr:col>
      <xdr:colOff>1602441</xdr:colOff>
      <xdr:row>9</xdr:row>
      <xdr:rowOff>11206</xdr:rowOff>
    </xdr:to>
    <xdr:sp macro="" textlink="">
      <xdr:nvSpPr>
        <xdr:cNvPr id="3" name="Right Brace 2"/>
        <xdr:cNvSpPr/>
      </xdr:nvSpPr>
      <xdr:spPr>
        <a:xfrm>
          <a:off x="4728882" y="1322294"/>
          <a:ext cx="212912" cy="32497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xdr:col>
      <xdr:colOff>1400735</xdr:colOff>
      <xdr:row>28</xdr:row>
      <xdr:rowOff>11206</xdr:rowOff>
    </xdr:from>
    <xdr:to>
      <xdr:col>1</xdr:col>
      <xdr:colOff>1636059</xdr:colOff>
      <xdr:row>30</xdr:row>
      <xdr:rowOff>0</xdr:rowOff>
    </xdr:to>
    <xdr:sp macro="" textlink="">
      <xdr:nvSpPr>
        <xdr:cNvPr id="4" name="Right Brace 3"/>
        <xdr:cNvSpPr/>
      </xdr:nvSpPr>
      <xdr:spPr>
        <a:xfrm>
          <a:off x="4740088" y="4751294"/>
          <a:ext cx="235324" cy="30255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xdr:col>
      <xdr:colOff>1378323</xdr:colOff>
      <xdr:row>36</xdr:row>
      <xdr:rowOff>145676</xdr:rowOff>
    </xdr:from>
    <xdr:to>
      <xdr:col>1</xdr:col>
      <xdr:colOff>1613647</xdr:colOff>
      <xdr:row>38</xdr:row>
      <xdr:rowOff>134470</xdr:rowOff>
    </xdr:to>
    <xdr:sp macro="" textlink="">
      <xdr:nvSpPr>
        <xdr:cNvPr id="6" name="Right Brace 5"/>
        <xdr:cNvSpPr/>
      </xdr:nvSpPr>
      <xdr:spPr>
        <a:xfrm>
          <a:off x="4717676" y="6140823"/>
          <a:ext cx="235324" cy="30255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xdr:col>
      <xdr:colOff>1434353</xdr:colOff>
      <xdr:row>32</xdr:row>
      <xdr:rowOff>11206</xdr:rowOff>
    </xdr:from>
    <xdr:to>
      <xdr:col>1</xdr:col>
      <xdr:colOff>1669677</xdr:colOff>
      <xdr:row>34</xdr:row>
      <xdr:rowOff>1</xdr:rowOff>
    </xdr:to>
    <xdr:sp macro="" textlink="">
      <xdr:nvSpPr>
        <xdr:cNvPr id="7" name="Right Brace 6"/>
        <xdr:cNvSpPr/>
      </xdr:nvSpPr>
      <xdr:spPr>
        <a:xfrm>
          <a:off x="4773706" y="5378824"/>
          <a:ext cx="235324" cy="30255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xdr:col>
      <xdr:colOff>1367117</xdr:colOff>
      <xdr:row>41</xdr:row>
      <xdr:rowOff>0</xdr:rowOff>
    </xdr:from>
    <xdr:to>
      <xdr:col>1</xdr:col>
      <xdr:colOff>1602441</xdr:colOff>
      <xdr:row>42</xdr:row>
      <xdr:rowOff>145677</xdr:rowOff>
    </xdr:to>
    <xdr:sp macro="" textlink="">
      <xdr:nvSpPr>
        <xdr:cNvPr id="8" name="Right Brace 7"/>
        <xdr:cNvSpPr/>
      </xdr:nvSpPr>
      <xdr:spPr>
        <a:xfrm>
          <a:off x="4706470" y="6779559"/>
          <a:ext cx="235324" cy="30255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1367118</xdr:colOff>
      <xdr:row>3</xdr:row>
      <xdr:rowOff>0</xdr:rowOff>
    </xdr:from>
    <xdr:to>
      <xdr:col>1</xdr:col>
      <xdr:colOff>1647265</xdr:colOff>
      <xdr:row>6</xdr:row>
      <xdr:rowOff>145676</xdr:rowOff>
    </xdr:to>
    <xdr:sp macro="" textlink="">
      <xdr:nvSpPr>
        <xdr:cNvPr id="2" name="Right Brace 1"/>
        <xdr:cNvSpPr/>
      </xdr:nvSpPr>
      <xdr:spPr>
        <a:xfrm>
          <a:off x="4491318" y="704850"/>
          <a:ext cx="280147" cy="63145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xdr:col>
      <xdr:colOff>1467971</xdr:colOff>
      <xdr:row>38</xdr:row>
      <xdr:rowOff>11206</xdr:rowOff>
    </xdr:from>
    <xdr:to>
      <xdr:col>2</xdr:col>
      <xdr:colOff>22412</xdr:colOff>
      <xdr:row>39</xdr:row>
      <xdr:rowOff>145677</xdr:rowOff>
    </xdr:to>
    <xdr:sp macro="" textlink="">
      <xdr:nvSpPr>
        <xdr:cNvPr id="3" name="Right Brace 2"/>
        <xdr:cNvSpPr/>
      </xdr:nvSpPr>
      <xdr:spPr>
        <a:xfrm>
          <a:off x="4592171" y="6354856"/>
          <a:ext cx="268941" cy="29639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xdr:col>
      <xdr:colOff>1467971</xdr:colOff>
      <xdr:row>42</xdr:row>
      <xdr:rowOff>11206</xdr:rowOff>
    </xdr:from>
    <xdr:to>
      <xdr:col>2</xdr:col>
      <xdr:colOff>22412</xdr:colOff>
      <xdr:row>43</xdr:row>
      <xdr:rowOff>145676</xdr:rowOff>
    </xdr:to>
    <xdr:sp macro="" textlink="">
      <xdr:nvSpPr>
        <xdr:cNvPr id="4" name="Right Brace 3"/>
        <xdr:cNvSpPr/>
      </xdr:nvSpPr>
      <xdr:spPr>
        <a:xfrm>
          <a:off x="4592171" y="7002556"/>
          <a:ext cx="268941" cy="29639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xdr:col>
      <xdr:colOff>1467971</xdr:colOff>
      <xdr:row>50</xdr:row>
      <xdr:rowOff>11206</xdr:rowOff>
    </xdr:from>
    <xdr:to>
      <xdr:col>5</xdr:col>
      <xdr:colOff>44824</xdr:colOff>
      <xdr:row>57</xdr:row>
      <xdr:rowOff>134471</xdr:rowOff>
    </xdr:to>
    <xdr:sp macro="" textlink="">
      <xdr:nvSpPr>
        <xdr:cNvPr id="6" name="Right Brace 5"/>
        <xdr:cNvSpPr/>
      </xdr:nvSpPr>
      <xdr:spPr>
        <a:xfrm>
          <a:off x="8221196" y="8459881"/>
          <a:ext cx="291353" cy="125674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1389529</xdr:colOff>
      <xdr:row>8</xdr:row>
      <xdr:rowOff>0</xdr:rowOff>
    </xdr:from>
    <xdr:to>
      <xdr:col>1</xdr:col>
      <xdr:colOff>1602441</xdr:colOff>
      <xdr:row>10</xdr:row>
      <xdr:rowOff>11206</xdr:rowOff>
    </xdr:to>
    <xdr:sp macro="" textlink="">
      <xdr:nvSpPr>
        <xdr:cNvPr id="2" name="Right Brace 1"/>
        <xdr:cNvSpPr/>
      </xdr:nvSpPr>
      <xdr:spPr>
        <a:xfrm>
          <a:off x="4723279" y="1352550"/>
          <a:ext cx="212912" cy="33505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1367118</xdr:colOff>
      <xdr:row>3</xdr:row>
      <xdr:rowOff>0</xdr:rowOff>
    </xdr:from>
    <xdr:to>
      <xdr:col>1</xdr:col>
      <xdr:colOff>1647265</xdr:colOff>
      <xdr:row>6</xdr:row>
      <xdr:rowOff>145676</xdr:rowOff>
    </xdr:to>
    <xdr:sp macro="" textlink="">
      <xdr:nvSpPr>
        <xdr:cNvPr id="2" name="Right Brace 1"/>
        <xdr:cNvSpPr/>
      </xdr:nvSpPr>
      <xdr:spPr>
        <a:xfrm>
          <a:off x="4491318" y="704850"/>
          <a:ext cx="280147" cy="63145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xdr:col>
      <xdr:colOff>1467971</xdr:colOff>
      <xdr:row>33</xdr:row>
      <xdr:rowOff>11206</xdr:rowOff>
    </xdr:from>
    <xdr:to>
      <xdr:col>2</xdr:col>
      <xdr:colOff>22412</xdr:colOff>
      <xdr:row>34</xdr:row>
      <xdr:rowOff>145677</xdr:rowOff>
    </xdr:to>
    <xdr:sp macro="" textlink="">
      <xdr:nvSpPr>
        <xdr:cNvPr id="3" name="Right Brace 2"/>
        <xdr:cNvSpPr/>
      </xdr:nvSpPr>
      <xdr:spPr>
        <a:xfrm>
          <a:off x="4592171" y="6526306"/>
          <a:ext cx="268941" cy="29639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xdr:col>
      <xdr:colOff>1467971</xdr:colOff>
      <xdr:row>37</xdr:row>
      <xdr:rowOff>11206</xdr:rowOff>
    </xdr:from>
    <xdr:to>
      <xdr:col>2</xdr:col>
      <xdr:colOff>22412</xdr:colOff>
      <xdr:row>38</xdr:row>
      <xdr:rowOff>145676</xdr:rowOff>
    </xdr:to>
    <xdr:sp macro="" textlink="">
      <xdr:nvSpPr>
        <xdr:cNvPr id="4" name="Right Brace 3"/>
        <xdr:cNvSpPr/>
      </xdr:nvSpPr>
      <xdr:spPr>
        <a:xfrm>
          <a:off x="4592171" y="7174006"/>
          <a:ext cx="268941" cy="29639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xdr:col>
      <xdr:colOff>1467971</xdr:colOff>
      <xdr:row>45</xdr:row>
      <xdr:rowOff>11206</xdr:rowOff>
    </xdr:from>
    <xdr:to>
      <xdr:col>5</xdr:col>
      <xdr:colOff>44824</xdr:colOff>
      <xdr:row>52</xdr:row>
      <xdr:rowOff>134471</xdr:rowOff>
    </xdr:to>
    <xdr:sp macro="" textlink="">
      <xdr:nvSpPr>
        <xdr:cNvPr id="5" name="Right Brace 4"/>
        <xdr:cNvSpPr/>
      </xdr:nvSpPr>
      <xdr:spPr>
        <a:xfrm>
          <a:off x="8221196" y="8469406"/>
          <a:ext cx="291353" cy="125674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142875</xdr:rowOff>
        </xdr:from>
        <xdr:to>
          <xdr:col>17</xdr:col>
          <xdr:colOff>142875</xdr:colOff>
          <xdr:row>41</xdr:row>
          <xdr:rowOff>114300</xdr:rowOff>
        </xdr:to>
        <xdr:sp macro="" textlink="">
          <xdr:nvSpPr>
            <xdr:cNvPr id="18433" name="Object 1" hidden="1">
              <a:extLst>
                <a:ext uri="{63B3BB69-23CF-44E3-9099-C40C66FF867C}">
                  <a14:compatExt spid="_x0000_s18433"/>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mp.lincolnshire.gov.uk/SINGLE%20FORMULA/Maintained%20Nursery%20Schools%20&amp;%20Nursery%20Classes/Nursery%20Classes/Documents%20and%20Settings/TEMP/Desktop/MP%20-%20Deprivation%20-%20Complete%203_4sFinal%20Settings%20Li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mp.lincolnshire.gov.uk/Documents%20and%20Settings/patrick.heppenstall/Local%20Settings/Temporary%20Internet%20Files/OLK43/FINPLN11%20SPECIAL%20201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List"/>
      <sheetName val="Pivot"/>
      <sheetName val="Sheet1"/>
      <sheetName val="Detailed_Output"/>
      <sheetName val="Detailed_Output (2)"/>
    </sheetNames>
    <sheetDataSet>
      <sheetData sheetId="0" refreshError="1"/>
      <sheetData sheetId="1" refreshError="1"/>
      <sheetData sheetId="2" refreshError="1"/>
      <sheetData sheetId="3">
        <row r="4">
          <cell r="A4" t="str">
            <v>SchoolURN</v>
          </cell>
          <cell r="B4" t="str">
            <v>SchoolName</v>
          </cell>
          <cell r="C4" t="str">
            <v>Community Special School</v>
          </cell>
          <cell r="D4" t="str">
            <v>Independent School</v>
          </cell>
          <cell r="E4" t="str">
            <v>Maintained Academies</v>
          </cell>
          <cell r="F4" t="str">
            <v>Maintained Community</v>
          </cell>
          <cell r="G4" t="str">
            <v>Maintained Foundation</v>
          </cell>
          <cell r="H4" t="str">
            <v>Maintained Nursery</v>
          </cell>
          <cell r="I4" t="str">
            <v>Maintained Voluntary Aided</v>
          </cell>
          <cell r="J4" t="str">
            <v>Maintained Voluntary Controlled</v>
          </cell>
          <cell r="K4" t="str">
            <v>Private Voluntary EY Setting</v>
          </cell>
          <cell r="L4" t="str">
            <v>25% Dep 3-4s</v>
          </cell>
          <cell r="M4" t="str">
            <v>Total 3-4s</v>
          </cell>
          <cell r="N4" t="str">
            <v>% 25% Depr</v>
          </cell>
          <cell r="O4" t="str">
            <v>No. Nursery Places (per session)</v>
          </cell>
          <cell r="P4" t="str">
            <v>Total Nursery Places</v>
          </cell>
          <cell r="Q4" t="str">
            <v>PVI  Age Range</v>
          </cell>
          <cell r="R4" t="str">
            <v>Max Under 2</v>
          </cell>
          <cell r="S4" t="str">
            <v>Max Under 3</v>
          </cell>
          <cell r="T4" t="str">
            <v>% Nursery Places Filled</v>
          </cell>
        </row>
        <row r="5">
          <cell r="A5">
            <v>9251005</v>
          </cell>
          <cell r="B5" t="str">
            <v>Lincoln, St. Giles Nursery School</v>
          </cell>
          <cell r="H5">
            <v>110</v>
          </cell>
          <cell r="L5">
            <v>110</v>
          </cell>
          <cell r="M5">
            <v>126</v>
          </cell>
          <cell r="N5">
            <v>0.87301587301587302</v>
          </cell>
        </row>
        <row r="6">
          <cell r="A6">
            <v>9251012</v>
          </cell>
          <cell r="B6" t="str">
            <v>Boston Nursery School</v>
          </cell>
          <cell r="H6">
            <v>56</v>
          </cell>
          <cell r="L6">
            <v>56</v>
          </cell>
          <cell r="M6">
            <v>85</v>
          </cell>
          <cell r="N6">
            <v>0.6588235294117647</v>
          </cell>
          <cell r="O6">
            <v>20</v>
          </cell>
          <cell r="P6">
            <v>40</v>
          </cell>
          <cell r="Q6" t="str">
            <v>2-4</v>
          </cell>
          <cell r="T6">
            <v>2.125</v>
          </cell>
        </row>
        <row r="7">
          <cell r="A7">
            <v>9253508</v>
          </cell>
          <cell r="B7" t="str">
            <v>Lincoln Ermine Primary School</v>
          </cell>
          <cell r="F7">
            <v>62.82352941176471</v>
          </cell>
          <cell r="L7">
            <v>62.82352941176471</v>
          </cell>
          <cell r="M7">
            <v>72</v>
          </cell>
          <cell r="N7">
            <v>0.87254901960784315</v>
          </cell>
          <cell r="O7">
            <v>33</v>
          </cell>
          <cell r="P7">
            <v>66</v>
          </cell>
          <cell r="Q7" t="str">
            <v>0-7</v>
          </cell>
          <cell r="R7">
            <v>9</v>
          </cell>
          <cell r="T7">
            <v>1.0909090909090908</v>
          </cell>
        </row>
        <row r="8">
          <cell r="A8">
            <v>9256905</v>
          </cell>
          <cell r="B8" t="str">
            <v>The Priory Witham Academy</v>
          </cell>
          <cell r="E8">
            <v>57.89320388349514</v>
          </cell>
          <cell r="L8">
            <v>57.89320388349514</v>
          </cell>
          <cell r="M8">
            <v>67</v>
          </cell>
          <cell r="N8">
            <v>0.86407766990291257</v>
          </cell>
        </row>
        <row r="9">
          <cell r="A9">
            <v>9252234</v>
          </cell>
          <cell r="B9" t="str">
            <v>Boston Carlton Road Primary School</v>
          </cell>
          <cell r="F9">
            <v>44.8</v>
          </cell>
          <cell r="L9">
            <v>44.8</v>
          </cell>
          <cell r="M9">
            <v>56</v>
          </cell>
          <cell r="N9">
            <v>0.79999999999999993</v>
          </cell>
        </row>
        <row r="10">
          <cell r="A10">
            <v>9252190</v>
          </cell>
          <cell r="B10" t="str">
            <v>Skegness Infant School</v>
          </cell>
          <cell r="F10">
            <v>49.787234042553195</v>
          </cell>
          <cell r="L10">
            <v>49.787234042553195</v>
          </cell>
          <cell r="M10">
            <v>52</v>
          </cell>
          <cell r="N10">
            <v>0.95744680851063835</v>
          </cell>
        </row>
        <row r="11">
          <cell r="A11">
            <v>9252124</v>
          </cell>
          <cell r="B11" t="str">
            <v>Lincoln Monks Abbey Primary School</v>
          </cell>
          <cell r="F11">
            <v>48.486486486486484</v>
          </cell>
          <cell r="L11">
            <v>48.486486486486484</v>
          </cell>
          <cell r="M11">
            <v>52</v>
          </cell>
          <cell r="N11">
            <v>0.93243243243243235</v>
          </cell>
        </row>
        <row r="12">
          <cell r="A12">
            <v>9252191</v>
          </cell>
          <cell r="B12" t="str">
            <v>Skegness Seathorne Primary School</v>
          </cell>
          <cell r="F12">
            <v>47.816091954022987</v>
          </cell>
          <cell r="L12">
            <v>47.816091954022987</v>
          </cell>
          <cell r="M12">
            <v>52</v>
          </cell>
          <cell r="N12">
            <v>0.91954022988505746</v>
          </cell>
          <cell r="O12">
            <v>52</v>
          </cell>
          <cell r="P12">
            <v>52</v>
          </cell>
          <cell r="T12">
            <v>1</v>
          </cell>
        </row>
        <row r="13">
          <cell r="A13">
            <v>9252208</v>
          </cell>
          <cell r="B13" t="str">
            <v>Gains Hillcrest Comm Inf &amp; Nurs. School</v>
          </cell>
          <cell r="F13">
            <v>37.865853658536587</v>
          </cell>
          <cell r="L13">
            <v>37.865853658536587</v>
          </cell>
          <cell r="M13">
            <v>45</v>
          </cell>
          <cell r="N13">
            <v>0.84146341463414642</v>
          </cell>
          <cell r="O13">
            <v>50</v>
          </cell>
          <cell r="P13">
            <v>100</v>
          </cell>
          <cell r="Q13" t="str">
            <v>0-7</v>
          </cell>
          <cell r="R13">
            <v>14</v>
          </cell>
          <cell r="T13">
            <v>0.45</v>
          </cell>
        </row>
        <row r="14">
          <cell r="A14">
            <v>9255219</v>
          </cell>
          <cell r="B14" t="str">
            <v>The Lancaster School</v>
          </cell>
          <cell r="G14">
            <v>28.093333333333334</v>
          </cell>
          <cell r="L14">
            <v>28.093333333333334</v>
          </cell>
          <cell r="M14">
            <v>43</v>
          </cell>
          <cell r="N14">
            <v>0.65333333333333332</v>
          </cell>
          <cell r="O14">
            <v>30</v>
          </cell>
          <cell r="P14">
            <v>30</v>
          </cell>
          <cell r="T14">
            <v>1.4333333333333333</v>
          </cell>
        </row>
        <row r="15">
          <cell r="A15">
            <v>9252173</v>
          </cell>
          <cell r="B15" t="str">
            <v>Mablethorpe Communtiy Primary School</v>
          </cell>
          <cell r="F15">
            <v>41.461538461538467</v>
          </cell>
          <cell r="L15">
            <v>41.461538461538467</v>
          </cell>
          <cell r="M15">
            <v>42</v>
          </cell>
          <cell r="N15">
            <v>0.98717948717948734</v>
          </cell>
          <cell r="O15">
            <v>53</v>
          </cell>
          <cell r="P15">
            <v>106</v>
          </cell>
          <cell r="Q15" t="str">
            <v>0-7</v>
          </cell>
          <cell r="R15">
            <v>21</v>
          </cell>
          <cell r="T15">
            <v>0.39622641509433965</v>
          </cell>
        </row>
        <row r="16">
          <cell r="A16">
            <v>546506</v>
          </cell>
          <cell r="B16" t="str">
            <v>Beginnings SureStart</v>
          </cell>
          <cell r="K16">
            <v>28</v>
          </cell>
          <cell r="L16">
            <v>28</v>
          </cell>
          <cell r="M16">
            <v>42</v>
          </cell>
          <cell r="N16">
            <v>0.66666666666666663</v>
          </cell>
          <cell r="O16">
            <v>24</v>
          </cell>
          <cell r="P16">
            <v>48</v>
          </cell>
          <cell r="Q16" t="str">
            <v>2-4</v>
          </cell>
          <cell r="T16">
            <v>0.875</v>
          </cell>
        </row>
        <row r="17">
          <cell r="A17">
            <v>9252109</v>
          </cell>
          <cell r="B17" t="str">
            <v>St Paul's C.P School and Nursery</v>
          </cell>
          <cell r="F17">
            <v>29.032258064516128</v>
          </cell>
          <cell r="L17">
            <v>29.032258064516128</v>
          </cell>
          <cell r="M17">
            <v>40</v>
          </cell>
          <cell r="N17">
            <v>0.72580645161290325</v>
          </cell>
          <cell r="O17">
            <v>52</v>
          </cell>
          <cell r="P17">
            <v>52</v>
          </cell>
          <cell r="T17">
            <v>0.76923076923076927</v>
          </cell>
        </row>
        <row r="18">
          <cell r="A18">
            <v>512295</v>
          </cell>
          <cell r="B18" t="str">
            <v>The Viking School</v>
          </cell>
          <cell r="D18">
            <v>29</v>
          </cell>
          <cell r="L18">
            <v>29</v>
          </cell>
          <cell r="M18">
            <v>38</v>
          </cell>
          <cell r="N18">
            <v>0.76315789473684215</v>
          </cell>
          <cell r="O18">
            <v>52</v>
          </cell>
          <cell r="P18">
            <v>52</v>
          </cell>
          <cell r="T18">
            <v>0.73076923076923073</v>
          </cell>
        </row>
        <row r="19">
          <cell r="A19">
            <v>546417</v>
          </cell>
          <cell r="B19" t="str">
            <v>Sunbeams Play Group</v>
          </cell>
          <cell r="K19">
            <v>30</v>
          </cell>
          <cell r="L19">
            <v>30</v>
          </cell>
          <cell r="M19">
            <v>37</v>
          </cell>
          <cell r="N19">
            <v>0.81081081081081086</v>
          </cell>
          <cell r="O19">
            <v>27</v>
          </cell>
          <cell r="P19">
            <v>54</v>
          </cell>
          <cell r="Q19" t="str">
            <v>2-4</v>
          </cell>
          <cell r="T19">
            <v>0.68518518518518523</v>
          </cell>
        </row>
        <row r="20">
          <cell r="A20">
            <v>546492</v>
          </cell>
          <cell r="B20" t="str">
            <v>Riverside Early Years Playgroup</v>
          </cell>
          <cell r="K20">
            <v>28</v>
          </cell>
          <cell r="L20">
            <v>28</v>
          </cell>
          <cell r="M20">
            <v>37</v>
          </cell>
          <cell r="N20">
            <v>0.7567567567567568</v>
          </cell>
        </row>
        <row r="21">
          <cell r="A21">
            <v>597013</v>
          </cell>
          <cell r="B21" t="str">
            <v>The Secret Garden Day Nursery</v>
          </cell>
          <cell r="K21">
            <v>33</v>
          </cell>
          <cell r="L21">
            <v>33</v>
          </cell>
          <cell r="M21">
            <v>36</v>
          </cell>
          <cell r="N21">
            <v>0.91666666666666663</v>
          </cell>
          <cell r="O21">
            <v>78</v>
          </cell>
          <cell r="P21">
            <v>78</v>
          </cell>
          <cell r="T21">
            <v>0.46153846153846156</v>
          </cell>
        </row>
        <row r="22">
          <cell r="A22">
            <v>597017</v>
          </cell>
          <cell r="B22" t="str">
            <v>Squirrels Day Nursery</v>
          </cell>
          <cell r="K22">
            <v>28</v>
          </cell>
          <cell r="L22">
            <v>28</v>
          </cell>
          <cell r="M22">
            <v>35</v>
          </cell>
          <cell r="N22">
            <v>0.8</v>
          </cell>
          <cell r="O22">
            <v>16</v>
          </cell>
          <cell r="P22">
            <v>32</v>
          </cell>
          <cell r="Q22" t="str">
            <v>2-4</v>
          </cell>
          <cell r="T22">
            <v>1.09375</v>
          </cell>
        </row>
        <row r="23">
          <cell r="A23">
            <v>9253505</v>
          </cell>
          <cell r="B23" t="str">
            <v>Bishop King CE Community Primary School</v>
          </cell>
          <cell r="I23">
            <v>21.724137931034484</v>
          </cell>
          <cell r="L23">
            <v>21.724137931034484</v>
          </cell>
          <cell r="M23">
            <v>35</v>
          </cell>
          <cell r="N23">
            <v>0.62068965517241381</v>
          </cell>
          <cell r="O23">
            <v>78</v>
          </cell>
          <cell r="P23">
            <v>78</v>
          </cell>
          <cell r="T23">
            <v>0.44871794871794873</v>
          </cell>
        </row>
        <row r="24">
          <cell r="A24">
            <v>9252122</v>
          </cell>
          <cell r="B24" t="str">
            <v>Lincoln Bracebridge Infant &amp; Nursery Sch</v>
          </cell>
          <cell r="F24">
            <v>22.666666666666664</v>
          </cell>
          <cell r="L24">
            <v>22.666666666666664</v>
          </cell>
          <cell r="M24">
            <v>34</v>
          </cell>
          <cell r="N24">
            <v>0.66666666666666663</v>
          </cell>
          <cell r="O24">
            <v>52</v>
          </cell>
          <cell r="P24">
            <v>52</v>
          </cell>
          <cell r="T24">
            <v>0.65384615384615385</v>
          </cell>
        </row>
        <row r="25">
          <cell r="A25">
            <v>516486</v>
          </cell>
          <cell r="B25" t="str">
            <v>Sea Shells Day Nursery</v>
          </cell>
          <cell r="K25">
            <v>28</v>
          </cell>
          <cell r="L25">
            <v>28</v>
          </cell>
          <cell r="M25">
            <v>33</v>
          </cell>
          <cell r="N25">
            <v>0.84848484848484851</v>
          </cell>
          <cell r="O25">
            <v>55</v>
          </cell>
          <cell r="P25">
            <v>110</v>
          </cell>
          <cell r="Q25" t="str">
            <v>0-7</v>
          </cell>
          <cell r="R25">
            <v>12</v>
          </cell>
          <cell r="S25">
            <v>29</v>
          </cell>
          <cell r="T25">
            <v>0.3</v>
          </cell>
        </row>
        <row r="26">
          <cell r="A26">
            <v>546545</v>
          </cell>
          <cell r="B26" t="str">
            <v>Little Learners</v>
          </cell>
          <cell r="K26">
            <v>30</v>
          </cell>
          <cell r="L26">
            <v>30</v>
          </cell>
          <cell r="M26">
            <v>32</v>
          </cell>
          <cell r="N26">
            <v>0.9375</v>
          </cell>
          <cell r="O26">
            <v>50</v>
          </cell>
          <cell r="P26">
            <v>50</v>
          </cell>
          <cell r="T26">
            <v>0.64</v>
          </cell>
        </row>
        <row r="27">
          <cell r="A27">
            <v>546528</v>
          </cell>
          <cell r="B27" t="str">
            <v>Honey Pot Pre School (Charles Baines School)</v>
          </cell>
          <cell r="K27">
            <v>26</v>
          </cell>
          <cell r="L27">
            <v>26</v>
          </cell>
          <cell r="M27">
            <v>30</v>
          </cell>
          <cell r="N27">
            <v>0.8666666666666667</v>
          </cell>
          <cell r="O27">
            <v>26</v>
          </cell>
          <cell r="P27">
            <v>26</v>
          </cell>
          <cell r="T27">
            <v>1.1538461538461537</v>
          </cell>
        </row>
        <row r="28">
          <cell r="A28">
            <v>9253027</v>
          </cell>
          <cell r="B28" t="str">
            <v>Grantham Spitalgate C of E Primary</v>
          </cell>
          <cell r="J28">
            <v>25.90909090909091</v>
          </cell>
          <cell r="L28">
            <v>25.90909090909091</v>
          </cell>
          <cell r="M28">
            <v>30</v>
          </cell>
          <cell r="N28">
            <v>0.86363636363636365</v>
          </cell>
          <cell r="O28">
            <v>30</v>
          </cell>
          <cell r="P28">
            <v>60</v>
          </cell>
          <cell r="Q28" t="str">
            <v>0-4</v>
          </cell>
          <cell r="R28">
            <v>4</v>
          </cell>
          <cell r="T28">
            <v>0.5</v>
          </cell>
        </row>
        <row r="29">
          <cell r="A29">
            <v>546471</v>
          </cell>
          <cell r="B29" t="str">
            <v>Dysart Day Care</v>
          </cell>
          <cell r="K29">
            <v>18</v>
          </cell>
          <cell r="L29">
            <v>18</v>
          </cell>
          <cell r="M29">
            <v>28</v>
          </cell>
          <cell r="N29">
            <v>0.6428571428571429</v>
          </cell>
          <cell r="O29">
            <v>68</v>
          </cell>
          <cell r="P29">
            <v>136</v>
          </cell>
          <cell r="Q29" t="str">
            <v>0-4</v>
          </cell>
          <cell r="R29">
            <v>12</v>
          </cell>
          <cell r="T29">
            <v>0.20588235294117646</v>
          </cell>
        </row>
        <row r="30">
          <cell r="A30">
            <v>546513</v>
          </cell>
          <cell r="B30" t="str">
            <v>Seasiders Day Nursery</v>
          </cell>
          <cell r="K30">
            <v>25</v>
          </cell>
          <cell r="L30">
            <v>25</v>
          </cell>
          <cell r="M30">
            <v>26</v>
          </cell>
          <cell r="N30">
            <v>0.96153846153846156</v>
          </cell>
          <cell r="O30">
            <v>33</v>
          </cell>
          <cell r="P30">
            <v>66</v>
          </cell>
          <cell r="Q30" t="str">
            <v>0-7</v>
          </cell>
          <cell r="R30">
            <v>9</v>
          </cell>
          <cell r="T30">
            <v>0.39393939393939392</v>
          </cell>
        </row>
        <row r="31">
          <cell r="A31">
            <v>9255215</v>
          </cell>
          <cell r="B31" t="str">
            <v>Old Leake Primary and Nursery School</v>
          </cell>
          <cell r="G31">
            <v>19.024390243902438</v>
          </cell>
          <cell r="L31">
            <v>19.024390243902438</v>
          </cell>
          <cell r="M31">
            <v>26</v>
          </cell>
          <cell r="N31">
            <v>0.73170731707317072</v>
          </cell>
          <cell r="O31">
            <v>50</v>
          </cell>
          <cell r="P31">
            <v>100</v>
          </cell>
          <cell r="Q31" t="str">
            <v>0-7</v>
          </cell>
          <cell r="R31">
            <v>9</v>
          </cell>
          <cell r="T31">
            <v>0.26</v>
          </cell>
        </row>
        <row r="32">
          <cell r="A32">
            <v>520195</v>
          </cell>
          <cell r="B32" t="str">
            <v>Happi Tots Play Group</v>
          </cell>
          <cell r="K32">
            <v>18</v>
          </cell>
          <cell r="L32">
            <v>18</v>
          </cell>
          <cell r="M32">
            <v>26</v>
          </cell>
          <cell r="N32">
            <v>0.69230769230769229</v>
          </cell>
          <cell r="O32">
            <v>78</v>
          </cell>
          <cell r="P32">
            <v>78</v>
          </cell>
          <cell r="T32">
            <v>0.33333333333333331</v>
          </cell>
        </row>
        <row r="33">
          <cell r="A33">
            <v>546526</v>
          </cell>
          <cell r="B33" t="str">
            <v>Beginnings Day Care</v>
          </cell>
          <cell r="K33">
            <v>15</v>
          </cell>
          <cell r="L33">
            <v>15</v>
          </cell>
          <cell r="M33">
            <v>25</v>
          </cell>
          <cell r="N33">
            <v>0.6</v>
          </cell>
          <cell r="O33">
            <v>24</v>
          </cell>
          <cell r="P33">
            <v>48</v>
          </cell>
          <cell r="Q33" t="str">
            <v>2-7</v>
          </cell>
          <cell r="T33">
            <v>0.52083333333333337</v>
          </cell>
        </row>
        <row r="34">
          <cell r="A34">
            <v>9252239</v>
          </cell>
          <cell r="B34" t="str">
            <v>Boston Staniland Primary &amp; Nursery School</v>
          </cell>
          <cell r="F34">
            <v>15</v>
          </cell>
          <cell r="L34">
            <v>15</v>
          </cell>
          <cell r="M34">
            <v>25</v>
          </cell>
          <cell r="N34">
            <v>0.6</v>
          </cell>
        </row>
        <row r="35">
          <cell r="A35">
            <v>546445</v>
          </cell>
          <cell r="B35" t="str">
            <v>Daisy Chain Preschool</v>
          </cell>
          <cell r="K35">
            <v>13</v>
          </cell>
          <cell r="L35">
            <v>13</v>
          </cell>
          <cell r="M35">
            <v>21</v>
          </cell>
          <cell r="N35">
            <v>0.61904761904761907</v>
          </cell>
          <cell r="O35">
            <v>26</v>
          </cell>
          <cell r="P35">
            <v>52</v>
          </cell>
          <cell r="Q35" t="str">
            <v>2-7</v>
          </cell>
          <cell r="T35">
            <v>0.40384615384615385</v>
          </cell>
        </row>
        <row r="36">
          <cell r="A36">
            <v>546447</v>
          </cell>
          <cell r="B36" t="str">
            <v>Huttoft Nursery</v>
          </cell>
          <cell r="K36">
            <v>14</v>
          </cell>
          <cell r="L36">
            <v>14</v>
          </cell>
          <cell r="M36">
            <v>20</v>
          </cell>
          <cell r="N36">
            <v>0.7</v>
          </cell>
        </row>
        <row r="37">
          <cell r="A37">
            <v>546503</v>
          </cell>
          <cell r="B37" t="str">
            <v>Rainbows End Pre-school</v>
          </cell>
          <cell r="K37">
            <v>19</v>
          </cell>
          <cell r="L37">
            <v>19</v>
          </cell>
          <cell r="M37">
            <v>19</v>
          </cell>
          <cell r="N37">
            <v>1</v>
          </cell>
          <cell r="O37">
            <v>26</v>
          </cell>
          <cell r="P37">
            <v>26</v>
          </cell>
          <cell r="T37">
            <v>0.73076923076923073</v>
          </cell>
        </row>
        <row r="38">
          <cell r="A38">
            <v>9253007</v>
          </cell>
          <cell r="B38" t="str">
            <v>Billinghay CE Primary School</v>
          </cell>
          <cell r="J38">
            <v>14.625</v>
          </cell>
          <cell r="L38">
            <v>14.625</v>
          </cell>
          <cell r="M38">
            <v>18</v>
          </cell>
          <cell r="N38">
            <v>0.8125</v>
          </cell>
          <cell r="O38">
            <v>42</v>
          </cell>
          <cell r="P38">
            <v>42</v>
          </cell>
          <cell r="T38">
            <v>0.42857142857142855</v>
          </cell>
        </row>
        <row r="39">
          <cell r="A39">
            <v>546455</v>
          </cell>
          <cell r="B39" t="str">
            <v>Ropery Pre-school Playgroup Gains EYC</v>
          </cell>
          <cell r="K39">
            <v>11</v>
          </cell>
          <cell r="L39">
            <v>11</v>
          </cell>
          <cell r="M39">
            <v>18</v>
          </cell>
          <cell r="N39">
            <v>0.61111111111111116</v>
          </cell>
          <cell r="O39">
            <v>25</v>
          </cell>
          <cell r="P39">
            <v>50</v>
          </cell>
          <cell r="Q39" t="str">
            <v>2-4</v>
          </cell>
          <cell r="T39">
            <v>0.36</v>
          </cell>
        </row>
        <row r="40">
          <cell r="A40">
            <v>524423</v>
          </cell>
          <cell r="B40" t="str">
            <v>Unitarian Preschool</v>
          </cell>
          <cell r="K40">
            <v>11</v>
          </cell>
          <cell r="L40">
            <v>11</v>
          </cell>
          <cell r="M40">
            <v>17</v>
          </cell>
          <cell r="N40">
            <v>0.6470588235294118</v>
          </cell>
        </row>
        <row r="41">
          <cell r="A41">
            <v>515525</v>
          </cell>
          <cell r="B41" t="str">
            <v>Marisco Play Group</v>
          </cell>
          <cell r="K41">
            <v>14</v>
          </cell>
          <cell r="L41">
            <v>14</v>
          </cell>
          <cell r="M41">
            <v>15</v>
          </cell>
          <cell r="N41">
            <v>0.93333333333333335</v>
          </cell>
          <cell r="O41">
            <v>50</v>
          </cell>
          <cell r="P41">
            <v>100</v>
          </cell>
          <cell r="Q41" t="str">
            <v>0-4</v>
          </cell>
          <cell r="R41">
            <v>18</v>
          </cell>
          <cell r="T41">
            <v>0.15</v>
          </cell>
        </row>
        <row r="42">
          <cell r="A42">
            <v>510766</v>
          </cell>
          <cell r="B42" t="str">
            <v>The Old Station Nursery (Gainsborough)</v>
          </cell>
          <cell r="K42">
            <v>9</v>
          </cell>
          <cell r="L42">
            <v>9</v>
          </cell>
          <cell r="M42">
            <v>15</v>
          </cell>
          <cell r="N42">
            <v>0.6</v>
          </cell>
          <cell r="O42">
            <v>52</v>
          </cell>
          <cell r="P42">
            <v>52</v>
          </cell>
          <cell r="T42">
            <v>0.28846153846153844</v>
          </cell>
        </row>
        <row r="43">
          <cell r="A43">
            <v>516492</v>
          </cell>
          <cell r="B43" t="str">
            <v>Binbrook Early Learners</v>
          </cell>
          <cell r="K43">
            <v>8</v>
          </cell>
          <cell r="L43">
            <v>8</v>
          </cell>
          <cell r="M43">
            <v>12</v>
          </cell>
          <cell r="N43">
            <v>0.66666666666666663</v>
          </cell>
        </row>
        <row r="46">
          <cell r="A46">
            <v>546549</v>
          </cell>
          <cell r="B46" t="str">
            <v>Mon Ami @ Friskney</v>
          </cell>
          <cell r="K46">
            <v>7</v>
          </cell>
          <cell r="L46">
            <v>7</v>
          </cell>
          <cell r="M46">
            <v>9</v>
          </cell>
          <cell r="N46">
            <v>0.77777777777777779</v>
          </cell>
        </row>
        <row r="47">
          <cell r="A47">
            <v>546523</v>
          </cell>
          <cell r="B47" t="str">
            <v>Spinning Tops Day Nursery</v>
          </cell>
          <cell r="K47">
            <v>6</v>
          </cell>
          <cell r="L47">
            <v>6</v>
          </cell>
          <cell r="M47">
            <v>6</v>
          </cell>
          <cell r="N47">
            <v>1</v>
          </cell>
          <cell r="O47">
            <v>26</v>
          </cell>
          <cell r="P47">
            <v>52</v>
          </cell>
          <cell r="Q47" t="str">
            <v>2-4</v>
          </cell>
          <cell r="T47">
            <v>0.11538461538461539</v>
          </cell>
        </row>
        <row r="48">
          <cell r="A48">
            <v>9257016</v>
          </cell>
          <cell r="B48" t="str">
            <v>Lincoln, St Francis School</v>
          </cell>
          <cell r="C48">
            <v>4</v>
          </cell>
          <cell r="L48">
            <v>4</v>
          </cell>
          <cell r="M48">
            <v>6</v>
          </cell>
          <cell r="N48">
            <v>0.66666666666666663</v>
          </cell>
        </row>
        <row r="49">
          <cell r="A49">
            <v>546474</v>
          </cell>
          <cell r="B49" t="str">
            <v>Magical Moments Day Care</v>
          </cell>
          <cell r="K49">
            <v>4</v>
          </cell>
          <cell r="L49">
            <v>4</v>
          </cell>
          <cell r="M49">
            <v>5</v>
          </cell>
          <cell r="N49">
            <v>0.8</v>
          </cell>
        </row>
        <row r="50">
          <cell r="A50">
            <v>546507</v>
          </cell>
          <cell r="B50" t="str">
            <v>Willow Tree Nursery</v>
          </cell>
          <cell r="K50">
            <v>4</v>
          </cell>
          <cell r="L50">
            <v>4</v>
          </cell>
          <cell r="M50">
            <v>5</v>
          </cell>
          <cell r="N50">
            <v>0.8</v>
          </cell>
          <cell r="O50">
            <v>52</v>
          </cell>
          <cell r="P50">
            <v>52</v>
          </cell>
          <cell r="T50">
            <v>9.6153846153846159E-2</v>
          </cell>
        </row>
        <row r="51">
          <cell r="A51">
            <v>9257026</v>
          </cell>
          <cell r="B51" t="str">
            <v>Gainsborough The William Harrison School</v>
          </cell>
          <cell r="C51">
            <v>3</v>
          </cell>
          <cell r="L51">
            <v>3</v>
          </cell>
          <cell r="M51">
            <v>4</v>
          </cell>
          <cell r="N51">
            <v>0.75</v>
          </cell>
          <cell r="O51">
            <v>24</v>
          </cell>
          <cell r="P51">
            <v>48</v>
          </cell>
          <cell r="Q51" t="str">
            <v>2-4</v>
          </cell>
          <cell r="T51">
            <v>8.3333333333333329E-2</v>
          </cell>
        </row>
        <row r="52">
          <cell r="A52">
            <v>546517</v>
          </cell>
          <cell r="B52" t="str">
            <v>Abbey Playgroup</v>
          </cell>
          <cell r="K52">
            <v>2</v>
          </cell>
          <cell r="L52">
            <v>2</v>
          </cell>
          <cell r="M52">
            <v>3</v>
          </cell>
          <cell r="N52">
            <v>0.66666666666666663</v>
          </cell>
          <cell r="O52">
            <v>26</v>
          </cell>
          <cell r="P52">
            <v>52</v>
          </cell>
          <cell r="Q52" t="str">
            <v>2-7</v>
          </cell>
          <cell r="T52">
            <v>5.7692307692307696E-2</v>
          </cell>
        </row>
        <row r="53">
          <cell r="A53">
            <v>9257010</v>
          </cell>
          <cell r="B53" t="str">
            <v>Boston The John Fielding School</v>
          </cell>
          <cell r="C53">
            <v>2</v>
          </cell>
          <cell r="L53">
            <v>2</v>
          </cell>
          <cell r="M53">
            <v>3</v>
          </cell>
          <cell r="N53">
            <v>0.66666666666666663</v>
          </cell>
          <cell r="O53">
            <v>30</v>
          </cell>
          <cell r="P53">
            <v>30</v>
          </cell>
          <cell r="T53">
            <v>0.1</v>
          </cell>
        </row>
        <row r="54">
          <cell r="A54">
            <v>9257023</v>
          </cell>
          <cell r="B54" t="str">
            <v>Gainsborough The Beckett School</v>
          </cell>
          <cell r="C54">
            <v>2</v>
          </cell>
          <cell r="L54">
            <v>2</v>
          </cell>
          <cell r="M54">
            <v>2</v>
          </cell>
          <cell r="N54">
            <v>1</v>
          </cell>
          <cell r="O54">
            <v>24</v>
          </cell>
          <cell r="P54">
            <v>48</v>
          </cell>
          <cell r="Q54" t="str">
            <v>0-4</v>
          </cell>
          <cell r="T54">
            <v>4.1666666666666664E-2</v>
          </cell>
        </row>
        <row r="55">
          <cell r="A55">
            <v>546466</v>
          </cell>
          <cell r="B55" t="str">
            <v>Busy Tots Preschool</v>
          </cell>
          <cell r="K55">
            <v>1</v>
          </cell>
          <cell r="L55">
            <v>1</v>
          </cell>
          <cell r="M55">
            <v>1</v>
          </cell>
          <cell r="N55">
            <v>1</v>
          </cell>
          <cell r="O55">
            <v>33</v>
          </cell>
          <cell r="P55">
            <v>66</v>
          </cell>
          <cell r="Q55" t="str">
            <v>0-4</v>
          </cell>
          <cell r="R55">
            <v>9</v>
          </cell>
          <cell r="T55">
            <v>1.5151515151515152E-2</v>
          </cell>
        </row>
        <row r="56">
          <cell r="A56">
            <v>9257025</v>
          </cell>
          <cell r="B56" t="str">
            <v>Louth St Bernard's School</v>
          </cell>
          <cell r="C56">
            <v>1</v>
          </cell>
          <cell r="L56">
            <v>1</v>
          </cell>
          <cell r="M56">
            <v>1</v>
          </cell>
          <cell r="N56">
            <v>1</v>
          </cell>
          <cell r="O56">
            <v>25</v>
          </cell>
          <cell r="P56">
            <v>50</v>
          </cell>
          <cell r="Q56" t="str">
            <v>0-4</v>
          </cell>
          <cell r="R56">
            <v>9</v>
          </cell>
          <cell r="T56">
            <v>0.02</v>
          </cell>
        </row>
        <row r="57">
          <cell r="A57">
            <v>9257024</v>
          </cell>
          <cell r="B57" t="str">
            <v>The Eresby School</v>
          </cell>
          <cell r="C57">
            <v>1</v>
          </cell>
          <cell r="L57">
            <v>1</v>
          </cell>
          <cell r="M57">
            <v>1</v>
          </cell>
          <cell r="N57">
            <v>1</v>
          </cell>
          <cell r="O57">
            <v>52</v>
          </cell>
          <cell r="P57">
            <v>52</v>
          </cell>
          <cell r="T57">
            <v>1.9230769230769232E-2</v>
          </cell>
        </row>
        <row r="60">
          <cell r="A60">
            <v>517375</v>
          </cell>
          <cell r="B60" t="str">
            <v>Busy Bees Nursery Wainfleet Children's Centre</v>
          </cell>
          <cell r="K60">
            <v>29</v>
          </cell>
          <cell r="L60">
            <v>29</v>
          </cell>
          <cell r="M60">
            <v>49</v>
          </cell>
          <cell r="N60">
            <v>0.59183673469387754</v>
          </cell>
          <cell r="O60">
            <v>19</v>
          </cell>
          <cell r="P60">
            <v>38</v>
          </cell>
          <cell r="Q60" t="str">
            <v>0-4</v>
          </cell>
          <cell r="R60">
            <v>6</v>
          </cell>
          <cell r="T60">
            <v>1.2894736842105263</v>
          </cell>
        </row>
        <row r="61">
          <cell r="A61">
            <v>9252094</v>
          </cell>
          <cell r="B61" t="str">
            <v>Kirton Primary School</v>
          </cell>
          <cell r="F61">
            <v>27.181818181818183</v>
          </cell>
          <cell r="L61">
            <v>27.181818181818183</v>
          </cell>
          <cell r="M61">
            <v>46</v>
          </cell>
          <cell r="N61">
            <v>0.59090909090909094</v>
          </cell>
          <cell r="O61">
            <v>45</v>
          </cell>
          <cell r="P61">
            <v>90</v>
          </cell>
          <cell r="Q61" t="str">
            <v>0-4</v>
          </cell>
          <cell r="R61">
            <v>9</v>
          </cell>
          <cell r="S61">
            <v>21</v>
          </cell>
          <cell r="T61">
            <v>0.51111111111111107</v>
          </cell>
        </row>
        <row r="62">
          <cell r="A62">
            <v>546541</v>
          </cell>
          <cell r="B62" t="str">
            <v>Little Treasures Nursery</v>
          </cell>
          <cell r="K62">
            <v>20</v>
          </cell>
          <cell r="L62">
            <v>20</v>
          </cell>
          <cell r="M62">
            <v>34</v>
          </cell>
          <cell r="N62">
            <v>0.58823529411764708</v>
          </cell>
          <cell r="O62">
            <v>52</v>
          </cell>
          <cell r="P62">
            <v>52</v>
          </cell>
          <cell r="T62">
            <v>0.65384615384615385</v>
          </cell>
        </row>
        <row r="63">
          <cell r="A63">
            <v>9255227</v>
          </cell>
          <cell r="B63" t="str">
            <v>Lincoln Mount Street Infant and Nursery</v>
          </cell>
          <cell r="G63">
            <v>51.177304964539005</v>
          </cell>
          <cell r="L63">
            <v>51.177304964539005</v>
          </cell>
          <cell r="M63">
            <v>88</v>
          </cell>
          <cell r="N63">
            <v>0.58156028368794321</v>
          </cell>
          <cell r="O63">
            <v>42</v>
          </cell>
          <cell r="P63">
            <v>84</v>
          </cell>
          <cell r="Q63" t="str">
            <v>0-7</v>
          </cell>
          <cell r="R63">
            <v>12</v>
          </cell>
          <cell r="T63">
            <v>1.0476190476190477</v>
          </cell>
        </row>
        <row r="64">
          <cell r="A64">
            <v>9252135</v>
          </cell>
          <cell r="B64" t="str">
            <v>Woodlands Infant &amp; Nursery School</v>
          </cell>
          <cell r="F64">
            <v>28.472972972972972</v>
          </cell>
          <cell r="L64">
            <v>28.472972972972972</v>
          </cell>
          <cell r="M64">
            <v>49</v>
          </cell>
          <cell r="N64">
            <v>0.58108108108108103</v>
          </cell>
          <cell r="O64">
            <v>60</v>
          </cell>
          <cell r="P64">
            <v>60</v>
          </cell>
          <cell r="T64">
            <v>0.81666666666666665</v>
          </cell>
        </row>
        <row r="65">
          <cell r="A65">
            <v>518944</v>
          </cell>
          <cell r="B65" t="str">
            <v>Maple Street Day Nursery</v>
          </cell>
          <cell r="K65">
            <v>4</v>
          </cell>
          <cell r="L65">
            <v>4</v>
          </cell>
          <cell r="M65">
            <v>7</v>
          </cell>
          <cell r="N65">
            <v>0.5714285714285714</v>
          </cell>
          <cell r="O65">
            <v>52</v>
          </cell>
          <cell r="P65">
            <v>52</v>
          </cell>
          <cell r="T65">
            <v>0.13461538461538461</v>
          </cell>
        </row>
        <row r="66">
          <cell r="A66">
            <v>512430</v>
          </cell>
          <cell r="B66" t="str">
            <v>Park Community Preschool</v>
          </cell>
          <cell r="K66">
            <v>9</v>
          </cell>
          <cell r="L66">
            <v>9</v>
          </cell>
          <cell r="M66">
            <v>16</v>
          </cell>
          <cell r="N66">
            <v>0.5625</v>
          </cell>
          <cell r="O66">
            <v>24</v>
          </cell>
          <cell r="P66">
            <v>48</v>
          </cell>
          <cell r="Q66" t="str">
            <v>2-4</v>
          </cell>
          <cell r="T66">
            <v>0.33333333333333331</v>
          </cell>
        </row>
        <row r="67">
          <cell r="A67">
            <v>516493</v>
          </cell>
          <cell r="B67" t="str">
            <v>Qwackers Pre-school</v>
          </cell>
          <cell r="K67">
            <v>24</v>
          </cell>
          <cell r="L67">
            <v>24</v>
          </cell>
          <cell r="M67">
            <v>43</v>
          </cell>
          <cell r="N67">
            <v>0.55813953488372092</v>
          </cell>
          <cell r="O67">
            <v>32</v>
          </cell>
          <cell r="P67">
            <v>64</v>
          </cell>
          <cell r="Q67" t="str">
            <v>2-4</v>
          </cell>
          <cell r="T67">
            <v>0.671875</v>
          </cell>
        </row>
        <row r="68">
          <cell r="A68">
            <v>9252170</v>
          </cell>
          <cell r="B68" t="str">
            <v>Louth Eastfield Infants' and Nursery Sch</v>
          </cell>
          <cell r="F68">
            <v>36.666666666666671</v>
          </cell>
          <cell r="L68">
            <v>36.666666666666671</v>
          </cell>
          <cell r="M68">
            <v>66</v>
          </cell>
          <cell r="N68">
            <v>0.55555555555555558</v>
          </cell>
          <cell r="O68">
            <v>32</v>
          </cell>
          <cell r="P68">
            <v>64</v>
          </cell>
          <cell r="Q68" t="str">
            <v>2-4</v>
          </cell>
          <cell r="T68">
            <v>1.03125</v>
          </cell>
        </row>
        <row r="69">
          <cell r="A69">
            <v>546542</v>
          </cell>
          <cell r="B69" t="str">
            <v>Chatterbox  Nursery</v>
          </cell>
          <cell r="K69">
            <v>6</v>
          </cell>
          <cell r="L69">
            <v>6</v>
          </cell>
          <cell r="M69">
            <v>11</v>
          </cell>
          <cell r="N69">
            <v>0.54545454545454541</v>
          </cell>
          <cell r="O69">
            <v>52</v>
          </cell>
          <cell r="P69">
            <v>52</v>
          </cell>
          <cell r="T69">
            <v>0.21153846153846154</v>
          </cell>
        </row>
        <row r="70">
          <cell r="A70">
            <v>9252066</v>
          </cell>
          <cell r="B70" t="str">
            <v>The Bluecoat School</v>
          </cell>
          <cell r="F70">
            <v>20.12280701754386</v>
          </cell>
          <cell r="L70">
            <v>20.12280701754386</v>
          </cell>
          <cell r="M70">
            <v>37</v>
          </cell>
          <cell r="N70">
            <v>0.54385964912280704</v>
          </cell>
          <cell r="O70">
            <v>25</v>
          </cell>
          <cell r="P70">
            <v>50</v>
          </cell>
          <cell r="Q70" t="str">
            <v>0-7</v>
          </cell>
          <cell r="R70">
            <v>9</v>
          </cell>
          <cell r="T70">
            <v>0.74</v>
          </cell>
        </row>
        <row r="71">
          <cell r="A71">
            <v>546519</v>
          </cell>
          <cell r="B71" t="str">
            <v>Mon Ami Day Nursery (Boston)</v>
          </cell>
          <cell r="K71">
            <v>13</v>
          </cell>
          <cell r="L71">
            <v>13</v>
          </cell>
          <cell r="M71">
            <v>24</v>
          </cell>
          <cell r="N71">
            <v>0.54166666666666663</v>
          </cell>
          <cell r="O71">
            <v>52</v>
          </cell>
          <cell r="P71">
            <v>52</v>
          </cell>
          <cell r="T71">
            <v>0.46153846153846156</v>
          </cell>
        </row>
        <row r="72">
          <cell r="A72">
            <v>9252247</v>
          </cell>
          <cell r="B72" t="str">
            <v>Gainsborough Benjamin Adlard School</v>
          </cell>
          <cell r="F72">
            <v>18.36</v>
          </cell>
          <cell r="L72">
            <v>18.36</v>
          </cell>
          <cell r="M72">
            <v>34</v>
          </cell>
          <cell r="N72">
            <v>0.54</v>
          </cell>
          <cell r="O72">
            <v>55</v>
          </cell>
          <cell r="P72">
            <v>110</v>
          </cell>
          <cell r="Q72" t="str">
            <v>0-7</v>
          </cell>
          <cell r="R72">
            <v>15</v>
          </cell>
          <cell r="T72">
            <v>0.30909090909090908</v>
          </cell>
        </row>
        <row r="73">
          <cell r="A73">
            <v>546481</v>
          </cell>
          <cell r="B73" t="str">
            <v>The Old Station Nursery Ltd (Lincoln College)</v>
          </cell>
          <cell r="K73">
            <v>8</v>
          </cell>
          <cell r="L73">
            <v>8</v>
          </cell>
          <cell r="M73">
            <v>15</v>
          </cell>
          <cell r="N73">
            <v>0.53333333333333333</v>
          </cell>
          <cell r="O73">
            <v>52</v>
          </cell>
          <cell r="P73">
            <v>52</v>
          </cell>
          <cell r="T73">
            <v>0.28846153846153844</v>
          </cell>
        </row>
        <row r="74">
          <cell r="A74">
            <v>511212</v>
          </cell>
          <cell r="B74" t="str">
            <v>Spilsby Play Group</v>
          </cell>
          <cell r="K74">
            <v>17</v>
          </cell>
          <cell r="L74">
            <v>17</v>
          </cell>
          <cell r="M74">
            <v>32</v>
          </cell>
          <cell r="N74">
            <v>0.53125</v>
          </cell>
          <cell r="O74">
            <v>25</v>
          </cell>
          <cell r="P74">
            <v>50</v>
          </cell>
          <cell r="Q74" t="str">
            <v>0-7</v>
          </cell>
          <cell r="R74">
            <v>9</v>
          </cell>
          <cell r="T74">
            <v>0.64</v>
          </cell>
        </row>
        <row r="75">
          <cell r="A75">
            <v>520806</v>
          </cell>
          <cell r="B75" t="str">
            <v>Sunshine Children's Centre</v>
          </cell>
          <cell r="K75">
            <v>20</v>
          </cell>
          <cell r="L75">
            <v>20</v>
          </cell>
          <cell r="M75">
            <v>38</v>
          </cell>
          <cell r="N75">
            <v>0.52631578947368418</v>
          </cell>
          <cell r="O75">
            <v>24</v>
          </cell>
          <cell r="P75">
            <v>48</v>
          </cell>
          <cell r="Q75" t="str">
            <v>2-4</v>
          </cell>
          <cell r="T75">
            <v>0.79166666666666663</v>
          </cell>
        </row>
        <row r="76">
          <cell r="A76">
            <v>546531</v>
          </cell>
          <cell r="B76" t="str">
            <v>YMCA Daycare St Augustines</v>
          </cell>
          <cell r="K76">
            <v>13</v>
          </cell>
          <cell r="L76">
            <v>13</v>
          </cell>
          <cell r="M76">
            <v>26</v>
          </cell>
          <cell r="N76">
            <v>0.5</v>
          </cell>
          <cell r="O76">
            <v>38</v>
          </cell>
          <cell r="P76">
            <v>76</v>
          </cell>
          <cell r="Q76" t="str">
            <v>0-4</v>
          </cell>
          <cell r="R76">
            <v>12</v>
          </cell>
          <cell r="T76">
            <v>0.34210526315789475</v>
          </cell>
        </row>
        <row r="77">
          <cell r="A77">
            <v>9257017</v>
          </cell>
          <cell r="B77" t="str">
            <v>Lincoln Queen's Park School</v>
          </cell>
          <cell r="C77">
            <v>5</v>
          </cell>
          <cell r="L77">
            <v>5</v>
          </cell>
          <cell r="M77">
            <v>10</v>
          </cell>
          <cell r="N77">
            <v>0.5</v>
          </cell>
          <cell r="O77">
            <v>56</v>
          </cell>
          <cell r="P77">
            <v>112</v>
          </cell>
          <cell r="Q77" t="str">
            <v>2-7</v>
          </cell>
          <cell r="T77">
            <v>8.9285714285714288E-2</v>
          </cell>
        </row>
        <row r="78">
          <cell r="A78">
            <v>9257015</v>
          </cell>
          <cell r="B78" t="str">
            <v>Lincoln St Christopher's</v>
          </cell>
          <cell r="C78">
            <v>5</v>
          </cell>
          <cell r="L78">
            <v>5</v>
          </cell>
          <cell r="M78">
            <v>10</v>
          </cell>
          <cell r="N78">
            <v>0.5</v>
          </cell>
        </row>
        <row r="79">
          <cell r="A79">
            <v>9255213</v>
          </cell>
          <cell r="B79" t="str">
            <v>Grantham The Isaac Newton Primary School</v>
          </cell>
          <cell r="G79">
            <v>18.654545454545456</v>
          </cell>
          <cell r="L79">
            <v>18.654545454545456</v>
          </cell>
          <cell r="M79">
            <v>38</v>
          </cell>
          <cell r="N79">
            <v>0.49090909090909096</v>
          </cell>
        </row>
        <row r="80">
          <cell r="A80">
            <v>546522</v>
          </cell>
          <cell r="B80" t="str">
            <v>Wyberton Play Group</v>
          </cell>
          <cell r="K80">
            <v>15</v>
          </cell>
          <cell r="L80">
            <v>15</v>
          </cell>
          <cell r="M80">
            <v>32</v>
          </cell>
          <cell r="N80">
            <v>0.46875</v>
          </cell>
          <cell r="O80">
            <v>65</v>
          </cell>
          <cell r="P80">
            <v>65</v>
          </cell>
          <cell r="T80">
            <v>0.49230769230769234</v>
          </cell>
        </row>
        <row r="81">
          <cell r="A81">
            <v>546511</v>
          </cell>
          <cell r="B81" t="str">
            <v>Children First</v>
          </cell>
          <cell r="K81">
            <v>19</v>
          </cell>
          <cell r="L81">
            <v>19</v>
          </cell>
          <cell r="M81">
            <v>41</v>
          </cell>
          <cell r="N81">
            <v>0.46341463414634149</v>
          </cell>
        </row>
        <row r="82">
          <cell r="A82">
            <v>519274</v>
          </cell>
          <cell r="B82" t="str">
            <v>Roseberry Avenue Community Playgroup</v>
          </cell>
          <cell r="K82">
            <v>21</v>
          </cell>
          <cell r="L82">
            <v>21</v>
          </cell>
          <cell r="M82">
            <v>46</v>
          </cell>
          <cell r="N82">
            <v>0.45652173913043476</v>
          </cell>
          <cell r="O82">
            <v>63</v>
          </cell>
          <cell r="P82">
            <v>126</v>
          </cell>
          <cell r="Q82" t="str">
            <v>0-7</v>
          </cell>
          <cell r="R82">
            <v>36</v>
          </cell>
          <cell r="T82">
            <v>0.36507936507936506</v>
          </cell>
        </row>
        <row r="83">
          <cell r="A83">
            <v>546444</v>
          </cell>
          <cell r="B83" t="str">
            <v>Totschool Play Group</v>
          </cell>
          <cell r="K83">
            <v>5</v>
          </cell>
          <cell r="L83">
            <v>5</v>
          </cell>
          <cell r="M83">
            <v>11</v>
          </cell>
          <cell r="N83">
            <v>0.45454545454545453</v>
          </cell>
          <cell r="O83">
            <v>24</v>
          </cell>
          <cell r="P83">
            <v>48</v>
          </cell>
          <cell r="Q83" t="str">
            <v>2-4</v>
          </cell>
          <cell r="T83">
            <v>0.22916666666666666</v>
          </cell>
        </row>
        <row r="84">
          <cell r="A84">
            <v>546505</v>
          </cell>
          <cell r="B84" t="str">
            <v>Seesaw Day Nursery</v>
          </cell>
          <cell r="K84">
            <v>15</v>
          </cell>
          <cell r="L84">
            <v>15</v>
          </cell>
          <cell r="M84">
            <v>35</v>
          </cell>
          <cell r="N84">
            <v>0.42857142857142855</v>
          </cell>
          <cell r="O84">
            <v>20</v>
          </cell>
          <cell r="P84">
            <v>40</v>
          </cell>
          <cell r="Q84" t="str">
            <v>2-4</v>
          </cell>
          <cell r="T84">
            <v>0.875</v>
          </cell>
        </row>
        <row r="85">
          <cell r="A85">
            <v>511322</v>
          </cell>
          <cell r="B85" t="str">
            <v>Moulton Play Group</v>
          </cell>
          <cell r="K85">
            <v>11</v>
          </cell>
          <cell r="L85">
            <v>11</v>
          </cell>
          <cell r="M85">
            <v>26</v>
          </cell>
          <cell r="N85">
            <v>0.42307692307692307</v>
          </cell>
          <cell r="O85">
            <v>99</v>
          </cell>
          <cell r="P85">
            <v>198</v>
          </cell>
          <cell r="Q85" t="str">
            <v>0-7</v>
          </cell>
          <cell r="R85">
            <v>28</v>
          </cell>
          <cell r="T85">
            <v>0.13131313131313133</v>
          </cell>
        </row>
        <row r="86">
          <cell r="A86">
            <v>521732</v>
          </cell>
          <cell r="B86" t="str">
            <v>Riverside Play Group</v>
          </cell>
          <cell r="K86">
            <v>10</v>
          </cell>
          <cell r="L86">
            <v>10</v>
          </cell>
          <cell r="M86">
            <v>24</v>
          </cell>
          <cell r="N86">
            <v>0.41666666666666669</v>
          </cell>
        </row>
        <row r="87">
          <cell r="A87">
            <v>546543</v>
          </cell>
          <cell r="B87" t="str">
            <v>YMCA Birchwood Day Care</v>
          </cell>
          <cell r="K87">
            <v>7</v>
          </cell>
          <cell r="L87">
            <v>7</v>
          </cell>
          <cell r="M87">
            <v>17</v>
          </cell>
          <cell r="N87">
            <v>0.41176470588235292</v>
          </cell>
          <cell r="O87">
            <v>24</v>
          </cell>
          <cell r="P87">
            <v>48</v>
          </cell>
          <cell r="Q87" t="str">
            <v>2-4</v>
          </cell>
          <cell r="T87">
            <v>0.35416666666666669</v>
          </cell>
        </row>
        <row r="88">
          <cell r="A88">
            <v>9255220</v>
          </cell>
          <cell r="B88" t="str">
            <v>Lincoln Hartsholme Primary School</v>
          </cell>
          <cell r="G88">
            <v>11.407407407407407</v>
          </cell>
          <cell r="L88">
            <v>11.407407407407407</v>
          </cell>
          <cell r="M88">
            <v>28</v>
          </cell>
          <cell r="N88">
            <v>0.40740740740740738</v>
          </cell>
          <cell r="O88">
            <v>26</v>
          </cell>
          <cell r="P88">
            <v>52</v>
          </cell>
          <cell r="Q88" t="str">
            <v>2-4</v>
          </cell>
          <cell r="T88">
            <v>0.53846153846153844</v>
          </cell>
        </row>
        <row r="89">
          <cell r="A89">
            <v>546491</v>
          </cell>
          <cell r="B89" t="str">
            <v>ABC Day Nursery (Boston)</v>
          </cell>
          <cell r="K89">
            <v>13</v>
          </cell>
          <cell r="L89">
            <v>13</v>
          </cell>
          <cell r="M89">
            <v>32</v>
          </cell>
          <cell r="N89">
            <v>0.40625</v>
          </cell>
          <cell r="O89">
            <v>52</v>
          </cell>
          <cell r="P89">
            <v>52</v>
          </cell>
          <cell r="T89">
            <v>0.61538461538461542</v>
          </cell>
        </row>
        <row r="90">
          <cell r="A90">
            <v>546532</v>
          </cell>
          <cell r="B90" t="str">
            <v>Welbourn Gardens Day Nursery</v>
          </cell>
          <cell r="K90">
            <v>4</v>
          </cell>
          <cell r="L90">
            <v>4</v>
          </cell>
          <cell r="M90">
            <v>10</v>
          </cell>
          <cell r="N90">
            <v>0.4</v>
          </cell>
          <cell r="O90">
            <v>53</v>
          </cell>
          <cell r="P90">
            <v>106</v>
          </cell>
          <cell r="Q90" t="str">
            <v>0-7</v>
          </cell>
          <cell r="R90">
            <v>22</v>
          </cell>
          <cell r="T90">
            <v>9.4339622641509441E-2</v>
          </cell>
        </row>
        <row r="91">
          <cell r="A91">
            <v>546546</v>
          </cell>
          <cell r="B91" t="str">
            <v>Fun Farm Day Nursery</v>
          </cell>
          <cell r="K91">
            <v>2</v>
          </cell>
          <cell r="L91">
            <v>2</v>
          </cell>
          <cell r="M91">
            <v>5</v>
          </cell>
          <cell r="N91">
            <v>0.4</v>
          </cell>
          <cell r="O91">
            <v>28</v>
          </cell>
          <cell r="P91">
            <v>56</v>
          </cell>
          <cell r="Q91" t="str">
            <v>0-4</v>
          </cell>
          <cell r="R91">
            <v>12</v>
          </cell>
          <cell r="T91">
            <v>8.9285714285714288E-2</v>
          </cell>
        </row>
        <row r="92">
          <cell r="A92">
            <v>546461</v>
          </cell>
          <cell r="B92" t="str">
            <v>Woodlands Nursery Horncastle</v>
          </cell>
          <cell r="K92">
            <v>2</v>
          </cell>
          <cell r="L92">
            <v>2</v>
          </cell>
          <cell r="M92">
            <v>5</v>
          </cell>
          <cell r="N92">
            <v>0.4</v>
          </cell>
        </row>
        <row r="93">
          <cell r="A93">
            <v>581444</v>
          </cell>
          <cell r="B93" t="str">
            <v>Bramble Hall Day Nursery</v>
          </cell>
          <cell r="K93">
            <v>11</v>
          </cell>
          <cell r="L93">
            <v>11</v>
          </cell>
          <cell r="M93">
            <v>28</v>
          </cell>
          <cell r="N93">
            <v>0.39285714285714285</v>
          </cell>
          <cell r="O93">
            <v>48</v>
          </cell>
          <cell r="P93">
            <v>96</v>
          </cell>
          <cell r="Q93" t="str">
            <v>0-7</v>
          </cell>
          <cell r="R93">
            <v>15</v>
          </cell>
          <cell r="T93">
            <v>0.29166666666666669</v>
          </cell>
        </row>
        <row r="94">
          <cell r="A94">
            <v>523682</v>
          </cell>
          <cell r="B94" t="str">
            <v>Little Lambs Nursery</v>
          </cell>
          <cell r="K94">
            <v>7</v>
          </cell>
          <cell r="L94">
            <v>7</v>
          </cell>
          <cell r="M94">
            <v>18</v>
          </cell>
          <cell r="N94">
            <v>0.3888888888888889</v>
          </cell>
          <cell r="O94">
            <v>67</v>
          </cell>
          <cell r="P94">
            <v>134</v>
          </cell>
          <cell r="Q94" t="str">
            <v>0-7</v>
          </cell>
          <cell r="R94">
            <v>15</v>
          </cell>
          <cell r="T94">
            <v>0.13432835820895522</v>
          </cell>
        </row>
        <row r="95">
          <cell r="A95">
            <v>9251010</v>
          </cell>
          <cell r="B95" t="str">
            <v>Lincoln Kingsdown Nursery School</v>
          </cell>
          <cell r="H95">
            <v>33</v>
          </cell>
          <cell r="L95">
            <v>33</v>
          </cell>
          <cell r="M95">
            <v>88</v>
          </cell>
          <cell r="N95">
            <v>0.375</v>
          </cell>
          <cell r="O95">
            <v>44</v>
          </cell>
          <cell r="P95">
            <v>88</v>
          </cell>
          <cell r="Q95" t="str">
            <v>0-4</v>
          </cell>
          <cell r="R95">
            <v>12</v>
          </cell>
          <cell r="S95">
            <v>28</v>
          </cell>
          <cell r="T95">
            <v>1</v>
          </cell>
        </row>
        <row r="96">
          <cell r="A96">
            <v>9253111</v>
          </cell>
          <cell r="B96" t="str">
            <v>Lincoln St Peter at Gowts CE Primary</v>
          </cell>
          <cell r="J96">
            <v>14.169491525423728</v>
          </cell>
          <cell r="L96">
            <v>14.169491525423728</v>
          </cell>
          <cell r="M96">
            <v>38</v>
          </cell>
          <cell r="N96">
            <v>0.3728813559322034</v>
          </cell>
        </row>
        <row r="97">
          <cell r="A97">
            <v>9253108</v>
          </cell>
          <cell r="B97" t="str">
            <v>Lincoln St Faith's CE Infant School</v>
          </cell>
          <cell r="J97">
            <v>18.545454545454547</v>
          </cell>
          <cell r="L97">
            <v>18.545454545454547</v>
          </cell>
          <cell r="M97">
            <v>51</v>
          </cell>
          <cell r="N97">
            <v>0.36363636363636365</v>
          </cell>
          <cell r="O97">
            <v>52</v>
          </cell>
          <cell r="P97">
            <v>52</v>
          </cell>
          <cell r="T97">
            <v>0.98076923076923073</v>
          </cell>
        </row>
        <row r="98">
          <cell r="A98">
            <v>546530</v>
          </cell>
          <cell r="B98" t="str">
            <v>Belton Lane PLA Nursery</v>
          </cell>
          <cell r="K98">
            <v>8</v>
          </cell>
          <cell r="L98">
            <v>8</v>
          </cell>
          <cell r="M98">
            <v>22</v>
          </cell>
          <cell r="N98">
            <v>0.36363636363636365</v>
          </cell>
          <cell r="O98">
            <v>52</v>
          </cell>
          <cell r="P98">
            <v>52</v>
          </cell>
          <cell r="T98">
            <v>0.42307692307692307</v>
          </cell>
        </row>
        <row r="99">
          <cell r="A99">
            <v>513995</v>
          </cell>
          <cell r="B99" t="str">
            <v>Busy Bees Day Nursery</v>
          </cell>
          <cell r="K99">
            <v>8</v>
          </cell>
          <cell r="L99">
            <v>8</v>
          </cell>
          <cell r="M99">
            <v>22</v>
          </cell>
          <cell r="N99">
            <v>0.36363636363636365</v>
          </cell>
          <cell r="O99">
            <v>53</v>
          </cell>
          <cell r="P99">
            <v>106</v>
          </cell>
          <cell r="Q99" t="str">
            <v>0-7</v>
          </cell>
          <cell r="R99">
            <v>9</v>
          </cell>
          <cell r="T99">
            <v>0.20754716981132076</v>
          </cell>
        </row>
        <row r="100">
          <cell r="A100">
            <v>546489</v>
          </cell>
          <cell r="B100" t="str">
            <v>Frampton Community Play Group</v>
          </cell>
          <cell r="K100">
            <v>5</v>
          </cell>
          <cell r="L100">
            <v>5</v>
          </cell>
          <cell r="M100">
            <v>14</v>
          </cell>
          <cell r="N100">
            <v>0.35714285714285715</v>
          </cell>
          <cell r="O100">
            <v>42</v>
          </cell>
          <cell r="P100">
            <v>84</v>
          </cell>
          <cell r="Q100" t="str">
            <v>2-4</v>
          </cell>
          <cell r="R100">
            <v>12</v>
          </cell>
          <cell r="T100">
            <v>0.16666666666666666</v>
          </cell>
        </row>
        <row r="101">
          <cell r="A101">
            <v>516466</v>
          </cell>
          <cell r="B101" t="str">
            <v>High Gate Day Nursery</v>
          </cell>
          <cell r="K101">
            <v>5</v>
          </cell>
          <cell r="L101">
            <v>5</v>
          </cell>
          <cell r="M101">
            <v>14</v>
          </cell>
          <cell r="N101">
            <v>0.35714285714285715</v>
          </cell>
          <cell r="O101">
            <v>24</v>
          </cell>
          <cell r="P101">
            <v>48</v>
          </cell>
          <cell r="Q101" t="str">
            <v>0-4</v>
          </cell>
          <cell r="T101">
            <v>0.29166666666666669</v>
          </cell>
        </row>
        <row r="102">
          <cell r="A102">
            <v>546482</v>
          </cell>
          <cell r="B102" t="str">
            <v>The Old Station Nursery Ltd  (Wragby Road)</v>
          </cell>
          <cell r="K102">
            <v>6</v>
          </cell>
          <cell r="L102">
            <v>6</v>
          </cell>
          <cell r="M102">
            <v>17</v>
          </cell>
          <cell r="N102">
            <v>0.35294117647058826</v>
          </cell>
          <cell r="O102">
            <v>105</v>
          </cell>
          <cell r="P102">
            <v>210</v>
          </cell>
          <cell r="Q102" t="str">
            <v>0-7</v>
          </cell>
          <cell r="S102">
            <v>59</v>
          </cell>
          <cell r="T102">
            <v>8.0952380952380956E-2</v>
          </cell>
        </row>
        <row r="103">
          <cell r="A103">
            <v>9251011</v>
          </cell>
          <cell r="B103" t="str">
            <v>Gainsborough Nursery School</v>
          </cell>
          <cell r="H103">
            <v>31</v>
          </cell>
          <cell r="L103">
            <v>31</v>
          </cell>
          <cell r="M103">
            <v>89</v>
          </cell>
          <cell r="N103">
            <v>0.34831460674157305</v>
          </cell>
          <cell r="O103">
            <v>36</v>
          </cell>
          <cell r="P103">
            <v>72</v>
          </cell>
          <cell r="Q103" t="str">
            <v>0-4</v>
          </cell>
          <cell r="R103">
            <v>12</v>
          </cell>
          <cell r="T103">
            <v>1.2361111111111112</v>
          </cell>
        </row>
        <row r="104">
          <cell r="A104">
            <v>516031</v>
          </cell>
          <cell r="B104" t="str">
            <v>Nutwood Cottage Nursery</v>
          </cell>
          <cell r="K104">
            <v>9</v>
          </cell>
          <cell r="L104">
            <v>9</v>
          </cell>
          <cell r="M104">
            <v>26</v>
          </cell>
          <cell r="N104">
            <v>0.34615384615384615</v>
          </cell>
        </row>
        <row r="105">
          <cell r="A105">
            <v>510992</v>
          </cell>
          <cell r="B105" t="str">
            <v>Paper Moon Day Nursery</v>
          </cell>
          <cell r="K105">
            <v>4</v>
          </cell>
          <cell r="L105">
            <v>4</v>
          </cell>
          <cell r="M105">
            <v>12</v>
          </cell>
          <cell r="N105">
            <v>0.33333333333333331</v>
          </cell>
          <cell r="O105">
            <v>49</v>
          </cell>
          <cell r="P105">
            <v>98</v>
          </cell>
          <cell r="Q105" t="str">
            <v>0-4</v>
          </cell>
          <cell r="R105">
            <v>12</v>
          </cell>
          <cell r="T105">
            <v>0.12244897959183673</v>
          </cell>
        </row>
        <row r="106">
          <cell r="A106">
            <v>9252038</v>
          </cell>
          <cell r="B106" t="str">
            <v>Sleaford Church Lane Primary School</v>
          </cell>
          <cell r="F106">
            <v>12.448275862068964</v>
          </cell>
          <cell r="L106">
            <v>12.448275862068964</v>
          </cell>
          <cell r="M106">
            <v>38</v>
          </cell>
          <cell r="N106">
            <v>0.32758620689655171</v>
          </cell>
          <cell r="O106">
            <v>50</v>
          </cell>
          <cell r="P106">
            <v>100</v>
          </cell>
          <cell r="Q106" t="str">
            <v>0-7</v>
          </cell>
          <cell r="R106">
            <v>15</v>
          </cell>
          <cell r="T106">
            <v>0.38</v>
          </cell>
        </row>
        <row r="107">
          <cell r="A107">
            <v>523856</v>
          </cell>
          <cell r="B107" t="str">
            <v>Limes Play &amp; Learn</v>
          </cell>
          <cell r="K107">
            <v>14</v>
          </cell>
          <cell r="L107">
            <v>14</v>
          </cell>
          <cell r="M107">
            <v>45</v>
          </cell>
          <cell r="N107">
            <v>0.31111111111111112</v>
          </cell>
          <cell r="O107">
            <v>52</v>
          </cell>
          <cell r="P107">
            <v>52</v>
          </cell>
          <cell r="T107">
            <v>0.86538461538461542</v>
          </cell>
        </row>
        <row r="108">
          <cell r="A108">
            <v>515056</v>
          </cell>
          <cell r="B108" t="str">
            <v>Greenlands Preschool</v>
          </cell>
          <cell r="K108">
            <v>8</v>
          </cell>
          <cell r="L108">
            <v>8</v>
          </cell>
          <cell r="M108">
            <v>26</v>
          </cell>
          <cell r="N108">
            <v>0.30769230769230771</v>
          </cell>
          <cell r="O108">
            <v>32</v>
          </cell>
          <cell r="P108">
            <v>64</v>
          </cell>
          <cell r="Q108" t="str">
            <v>2-7</v>
          </cell>
          <cell r="T108">
            <v>0.40625</v>
          </cell>
        </row>
        <row r="109">
          <cell r="A109">
            <v>546509</v>
          </cell>
          <cell r="B109" t="str">
            <v>Greenwich House School, Kindergarten &amp; Creche</v>
          </cell>
          <cell r="K109">
            <v>8</v>
          </cell>
          <cell r="L109">
            <v>8</v>
          </cell>
          <cell r="M109">
            <v>26</v>
          </cell>
          <cell r="N109">
            <v>0.30769230769230771</v>
          </cell>
          <cell r="O109">
            <v>48</v>
          </cell>
          <cell r="P109">
            <v>96</v>
          </cell>
          <cell r="Q109" t="str">
            <v>2-4</v>
          </cell>
          <cell r="T109">
            <v>0.27083333333333331</v>
          </cell>
        </row>
        <row r="110">
          <cell r="A110">
            <v>546547</v>
          </cell>
          <cell r="B110" t="str">
            <v>Marton Pre School</v>
          </cell>
          <cell r="K110">
            <v>4</v>
          </cell>
          <cell r="L110">
            <v>4</v>
          </cell>
          <cell r="M110">
            <v>13</v>
          </cell>
          <cell r="N110">
            <v>0.30769230769230771</v>
          </cell>
          <cell r="O110">
            <v>33</v>
          </cell>
          <cell r="P110">
            <v>66</v>
          </cell>
          <cell r="Q110" t="str">
            <v>0-5</v>
          </cell>
          <cell r="R110">
            <v>9</v>
          </cell>
          <cell r="T110">
            <v>0.19696969696969696</v>
          </cell>
        </row>
        <row r="111">
          <cell r="A111">
            <v>546533</v>
          </cell>
          <cell r="B111" t="str">
            <v>Under 5's Ltd Lincoln Central Children Centre (Bishop King)</v>
          </cell>
          <cell r="K111">
            <v>4</v>
          </cell>
          <cell r="L111">
            <v>4</v>
          </cell>
          <cell r="M111">
            <v>13</v>
          </cell>
          <cell r="N111">
            <v>0.30769230769230771</v>
          </cell>
          <cell r="O111">
            <v>26</v>
          </cell>
          <cell r="P111">
            <v>52</v>
          </cell>
          <cell r="Q111" t="str">
            <v>2-4</v>
          </cell>
          <cell r="T111">
            <v>0.25</v>
          </cell>
        </row>
        <row r="112">
          <cell r="A112">
            <v>597012</v>
          </cell>
          <cell r="B112" t="str">
            <v>Hawthorn Tree Community Children's Centre</v>
          </cell>
          <cell r="K112">
            <v>19</v>
          </cell>
          <cell r="L112">
            <v>19</v>
          </cell>
          <cell r="M112">
            <v>62</v>
          </cell>
          <cell r="N112">
            <v>0.30645161290322581</v>
          </cell>
          <cell r="O112">
            <v>45</v>
          </cell>
          <cell r="P112">
            <v>90</v>
          </cell>
          <cell r="Q112" t="str">
            <v>0-4</v>
          </cell>
          <cell r="R112">
            <v>15</v>
          </cell>
          <cell r="T112">
            <v>0.68888888888888888</v>
          </cell>
        </row>
        <row r="113">
          <cell r="A113">
            <v>510913</v>
          </cell>
          <cell r="B113" t="str">
            <v>Portland kindergarten</v>
          </cell>
          <cell r="K113">
            <v>7</v>
          </cell>
          <cell r="L113">
            <v>7</v>
          </cell>
          <cell r="M113">
            <v>23</v>
          </cell>
          <cell r="N113">
            <v>0.30434782608695654</v>
          </cell>
          <cell r="O113">
            <v>40</v>
          </cell>
          <cell r="P113">
            <v>80</v>
          </cell>
          <cell r="Q113" t="str">
            <v>2-7</v>
          </cell>
          <cell r="T113">
            <v>0.28749999999999998</v>
          </cell>
        </row>
        <row r="114">
          <cell r="A114">
            <v>546520</v>
          </cell>
          <cell r="B114" t="str">
            <v>Paper Moon Day Nursery (Boultham Park)</v>
          </cell>
          <cell r="K114">
            <v>6</v>
          </cell>
          <cell r="L114">
            <v>6</v>
          </cell>
          <cell r="M114">
            <v>20</v>
          </cell>
          <cell r="N114">
            <v>0.3</v>
          </cell>
          <cell r="O114">
            <v>32</v>
          </cell>
          <cell r="P114">
            <v>64</v>
          </cell>
          <cell r="Q114" t="str">
            <v>0-4</v>
          </cell>
          <cell r="R114">
            <v>12</v>
          </cell>
          <cell r="T114">
            <v>0.3125</v>
          </cell>
        </row>
        <row r="115">
          <cell r="A115">
            <v>9257008</v>
          </cell>
          <cell r="B115" t="str">
            <v>Gosberton House  School</v>
          </cell>
          <cell r="C115">
            <v>3</v>
          </cell>
          <cell r="L115">
            <v>3</v>
          </cell>
          <cell r="M115">
            <v>10</v>
          </cell>
          <cell r="N115">
            <v>0.3</v>
          </cell>
          <cell r="O115">
            <v>34</v>
          </cell>
          <cell r="P115">
            <v>68</v>
          </cell>
          <cell r="Q115" t="str">
            <v>0-4</v>
          </cell>
          <cell r="R115">
            <v>6</v>
          </cell>
          <cell r="T115">
            <v>0.14705882352941177</v>
          </cell>
        </row>
        <row r="116">
          <cell r="A116">
            <v>546529</v>
          </cell>
          <cell r="B116" t="str">
            <v>YMCA Woodlands Nursery</v>
          </cell>
          <cell r="K116">
            <v>3</v>
          </cell>
          <cell r="L116">
            <v>3</v>
          </cell>
          <cell r="M116">
            <v>10</v>
          </cell>
          <cell r="N116">
            <v>0.3</v>
          </cell>
        </row>
        <row r="117">
          <cell r="A117">
            <v>546465</v>
          </cell>
          <cell r="B117" t="str">
            <v>The Tulip Preschool</v>
          </cell>
          <cell r="K117">
            <v>11</v>
          </cell>
          <cell r="L117">
            <v>11</v>
          </cell>
          <cell r="M117">
            <v>37</v>
          </cell>
          <cell r="N117">
            <v>0.29729729729729731</v>
          </cell>
          <cell r="O117">
            <v>32</v>
          </cell>
          <cell r="P117">
            <v>64</v>
          </cell>
          <cell r="Q117" t="str">
            <v>0-4</v>
          </cell>
          <cell r="R117">
            <v>6</v>
          </cell>
          <cell r="S117">
            <v>14</v>
          </cell>
          <cell r="T117">
            <v>0.578125</v>
          </cell>
        </row>
        <row r="118">
          <cell r="A118">
            <v>511523</v>
          </cell>
          <cell r="B118" t="str">
            <v>Busi Bodies Day Nursery (Louth)</v>
          </cell>
          <cell r="K118">
            <v>5</v>
          </cell>
          <cell r="L118">
            <v>5</v>
          </cell>
          <cell r="M118">
            <v>17</v>
          </cell>
          <cell r="N118">
            <v>0.29411764705882354</v>
          </cell>
          <cell r="O118">
            <v>24</v>
          </cell>
          <cell r="P118">
            <v>48</v>
          </cell>
          <cell r="Q118" t="str">
            <v>2-4</v>
          </cell>
          <cell r="T118">
            <v>0.35416666666666669</v>
          </cell>
        </row>
        <row r="119">
          <cell r="A119">
            <v>9252120</v>
          </cell>
          <cell r="B119" t="str">
            <v>Lincoln The Sir Francis Hill C Primary</v>
          </cell>
          <cell r="F119">
            <v>14.184210526315789</v>
          </cell>
          <cell r="L119">
            <v>14.184210526315789</v>
          </cell>
          <cell r="M119">
            <v>49</v>
          </cell>
          <cell r="N119">
            <v>0.28947368421052633</v>
          </cell>
          <cell r="O119">
            <v>45</v>
          </cell>
          <cell r="P119">
            <v>90</v>
          </cell>
          <cell r="Q119" t="str">
            <v>0-7</v>
          </cell>
          <cell r="R119">
            <v>12</v>
          </cell>
          <cell r="T119">
            <v>0.5444444444444444</v>
          </cell>
        </row>
        <row r="120">
          <cell r="A120">
            <v>513328</v>
          </cell>
          <cell r="B120" t="str">
            <v>Small Saints Preschool</v>
          </cell>
          <cell r="K120">
            <v>36</v>
          </cell>
          <cell r="L120">
            <v>36</v>
          </cell>
          <cell r="M120">
            <v>129</v>
          </cell>
          <cell r="N120">
            <v>0.27906976744186046</v>
          </cell>
          <cell r="O120">
            <v>52</v>
          </cell>
          <cell r="P120">
            <v>52</v>
          </cell>
          <cell r="T120">
            <v>2.4807692307692308</v>
          </cell>
        </row>
        <row r="121">
          <cell r="A121">
            <v>9252054</v>
          </cell>
          <cell r="B121" t="str">
            <v>Grantham Belton Lane Community Primary</v>
          </cell>
          <cell r="F121">
            <v>6.3888888888888893</v>
          </cell>
          <cell r="L121">
            <v>6.3888888888888893</v>
          </cell>
          <cell r="M121">
            <v>23</v>
          </cell>
          <cell r="N121">
            <v>0.27777777777777779</v>
          </cell>
          <cell r="O121">
            <v>78</v>
          </cell>
          <cell r="P121">
            <v>156</v>
          </cell>
          <cell r="Q121" t="str">
            <v>2-4</v>
          </cell>
          <cell r="T121">
            <v>0.14743589743589744</v>
          </cell>
        </row>
        <row r="122">
          <cell r="A122">
            <v>9252244</v>
          </cell>
          <cell r="B122" t="str">
            <v>Horncastle Community Primary School</v>
          </cell>
          <cell r="F122">
            <v>14.022471910112358</v>
          </cell>
          <cell r="L122">
            <v>14.022471910112358</v>
          </cell>
          <cell r="M122">
            <v>52</v>
          </cell>
          <cell r="N122">
            <v>0.2696629213483146</v>
          </cell>
          <cell r="O122">
            <v>52</v>
          </cell>
          <cell r="P122">
            <v>52</v>
          </cell>
          <cell r="T122">
            <v>1</v>
          </cell>
        </row>
        <row r="123">
          <cell r="A123">
            <v>546480</v>
          </cell>
          <cell r="B123" t="str">
            <v>The Old Station Nursery Ltd (Brayford)</v>
          </cell>
          <cell r="K123">
            <v>6</v>
          </cell>
          <cell r="L123">
            <v>6</v>
          </cell>
          <cell r="M123">
            <v>24</v>
          </cell>
          <cell r="N123">
            <v>0.25</v>
          </cell>
          <cell r="O123">
            <v>52</v>
          </cell>
          <cell r="P123">
            <v>52</v>
          </cell>
          <cell r="T123">
            <v>0.46153846153846156</v>
          </cell>
        </row>
        <row r="124">
          <cell r="A124">
            <v>512545</v>
          </cell>
          <cell r="B124" t="str">
            <v>Little Acorn Day Nursery</v>
          </cell>
          <cell r="K124">
            <v>5</v>
          </cell>
          <cell r="L124">
            <v>5</v>
          </cell>
          <cell r="M124">
            <v>20</v>
          </cell>
          <cell r="N124">
            <v>0.25</v>
          </cell>
          <cell r="O124">
            <v>44</v>
          </cell>
          <cell r="P124">
            <v>88</v>
          </cell>
          <cell r="Q124" t="str">
            <v>0-7</v>
          </cell>
          <cell r="R124">
            <v>16</v>
          </cell>
          <cell r="T124">
            <v>0.22727272727272727</v>
          </cell>
        </row>
        <row r="125">
          <cell r="A125">
            <v>597002</v>
          </cell>
          <cell r="B125" t="str">
            <v>Meadow View Play Group</v>
          </cell>
          <cell r="K125">
            <v>4</v>
          </cell>
          <cell r="L125">
            <v>4</v>
          </cell>
          <cell r="M125">
            <v>16</v>
          </cell>
          <cell r="N125">
            <v>0.25</v>
          </cell>
          <cell r="O125">
            <v>59</v>
          </cell>
          <cell r="P125">
            <v>118</v>
          </cell>
          <cell r="Q125" t="str">
            <v>0-7</v>
          </cell>
          <cell r="R125">
            <v>21</v>
          </cell>
          <cell r="S125">
            <v>33</v>
          </cell>
          <cell r="T125">
            <v>0.13559322033898305</v>
          </cell>
        </row>
        <row r="126">
          <cell r="A126">
            <v>546534</v>
          </cell>
          <cell r="B126" t="str">
            <v>Lilliput Day Nursery Boston</v>
          </cell>
          <cell r="K126">
            <v>1</v>
          </cell>
          <cell r="L126">
            <v>1</v>
          </cell>
          <cell r="M126">
            <v>4</v>
          </cell>
          <cell r="N126">
            <v>0.25</v>
          </cell>
          <cell r="O126">
            <v>17</v>
          </cell>
          <cell r="P126">
            <v>34</v>
          </cell>
          <cell r="Q126" t="str">
            <v>2-4</v>
          </cell>
          <cell r="T126">
            <v>0.11764705882352941</v>
          </cell>
        </row>
        <row r="127">
          <cell r="A127">
            <v>583196</v>
          </cell>
          <cell r="B127" t="str">
            <v>Swan Street Preschool</v>
          </cell>
          <cell r="K127">
            <v>6</v>
          </cell>
          <cell r="L127">
            <v>6</v>
          </cell>
          <cell r="M127">
            <v>25</v>
          </cell>
          <cell r="N127">
            <v>0.24</v>
          </cell>
        </row>
        <row r="128">
          <cell r="A128">
            <v>546422</v>
          </cell>
          <cell r="B128" t="str">
            <v>Town &amp; Country Kiddies (Louth)</v>
          </cell>
          <cell r="K128">
            <v>8</v>
          </cell>
          <cell r="L128">
            <v>8</v>
          </cell>
          <cell r="M128">
            <v>34</v>
          </cell>
          <cell r="N128">
            <v>0.23529411764705882</v>
          </cell>
          <cell r="O128">
            <v>32</v>
          </cell>
          <cell r="P128">
            <v>64</v>
          </cell>
          <cell r="Q128" t="str">
            <v>2-4</v>
          </cell>
          <cell r="T128">
            <v>0.53125</v>
          </cell>
        </row>
        <row r="129">
          <cell r="A129">
            <v>515567</v>
          </cell>
          <cell r="B129" t="str">
            <v>St Michael's Preschool</v>
          </cell>
          <cell r="K129">
            <v>4</v>
          </cell>
          <cell r="L129">
            <v>4</v>
          </cell>
          <cell r="M129">
            <v>17</v>
          </cell>
          <cell r="N129">
            <v>0.23529411764705882</v>
          </cell>
          <cell r="O129">
            <v>79</v>
          </cell>
          <cell r="P129">
            <v>158</v>
          </cell>
          <cell r="Q129" t="str">
            <v>0-7</v>
          </cell>
          <cell r="R129">
            <v>24</v>
          </cell>
          <cell r="S129">
            <v>40</v>
          </cell>
          <cell r="T129">
            <v>0.10759493670886076</v>
          </cell>
        </row>
        <row r="130">
          <cell r="A130">
            <v>546476</v>
          </cell>
          <cell r="B130" t="str">
            <v>St Faiths Play Group</v>
          </cell>
          <cell r="K130">
            <v>3</v>
          </cell>
          <cell r="L130">
            <v>3</v>
          </cell>
          <cell r="M130">
            <v>13</v>
          </cell>
          <cell r="N130">
            <v>0.23076923076923078</v>
          </cell>
          <cell r="O130">
            <v>18</v>
          </cell>
          <cell r="P130">
            <v>36</v>
          </cell>
          <cell r="Q130" t="str">
            <v>2-4</v>
          </cell>
          <cell r="T130">
            <v>0.3611111111111111</v>
          </cell>
        </row>
        <row r="131">
          <cell r="A131">
            <v>546418</v>
          </cell>
          <cell r="B131" t="str">
            <v>Start Right Day Nursery</v>
          </cell>
          <cell r="K131">
            <v>8</v>
          </cell>
          <cell r="L131">
            <v>8</v>
          </cell>
          <cell r="M131">
            <v>35</v>
          </cell>
          <cell r="N131">
            <v>0.22857142857142856</v>
          </cell>
          <cell r="O131">
            <v>24</v>
          </cell>
          <cell r="P131">
            <v>48</v>
          </cell>
          <cell r="Q131" t="str">
            <v>2-4</v>
          </cell>
          <cell r="T131">
            <v>0.72916666666666663</v>
          </cell>
        </row>
        <row r="132">
          <cell r="A132">
            <v>9251001</v>
          </cell>
          <cell r="B132" t="str">
            <v>Grantham Wyndham Park Nursery School</v>
          </cell>
          <cell r="H132">
            <v>24</v>
          </cell>
          <cell r="L132">
            <v>24</v>
          </cell>
          <cell r="M132">
            <v>106</v>
          </cell>
          <cell r="N132">
            <v>0.22641509433962265</v>
          </cell>
          <cell r="O132">
            <v>59</v>
          </cell>
          <cell r="P132">
            <v>118</v>
          </cell>
          <cell r="Q132" t="str">
            <v>0-7</v>
          </cell>
          <cell r="R132">
            <v>27</v>
          </cell>
          <cell r="T132">
            <v>0.89830508474576276</v>
          </cell>
        </row>
        <row r="133">
          <cell r="A133">
            <v>584735</v>
          </cell>
          <cell r="B133" t="str">
            <v>Mulberry Bush Child Care and Education Centre</v>
          </cell>
          <cell r="K133">
            <v>8</v>
          </cell>
          <cell r="L133">
            <v>8</v>
          </cell>
          <cell r="M133">
            <v>36</v>
          </cell>
          <cell r="N133">
            <v>0.22222222222222221</v>
          </cell>
        </row>
        <row r="134">
          <cell r="A134">
            <v>520589</v>
          </cell>
          <cell r="B134" t="str">
            <v>Ayscoughfee Hall School</v>
          </cell>
          <cell r="D134">
            <v>6</v>
          </cell>
          <cell r="L134">
            <v>6</v>
          </cell>
          <cell r="M134">
            <v>27</v>
          </cell>
          <cell r="N134">
            <v>0.22222222222222221</v>
          </cell>
          <cell r="O134">
            <v>80</v>
          </cell>
          <cell r="P134">
            <v>160</v>
          </cell>
          <cell r="Q134" t="str">
            <v>0-7</v>
          </cell>
          <cell r="R134">
            <v>15</v>
          </cell>
          <cell r="T134">
            <v>0.16875000000000001</v>
          </cell>
        </row>
        <row r="135">
          <cell r="A135">
            <v>597018</v>
          </cell>
          <cell r="B135" t="str">
            <v>Skendleby Play School</v>
          </cell>
          <cell r="K135">
            <v>2</v>
          </cell>
          <cell r="L135">
            <v>2</v>
          </cell>
          <cell r="M135">
            <v>9</v>
          </cell>
          <cell r="N135">
            <v>0.22222222222222221</v>
          </cell>
        </row>
        <row r="136">
          <cell r="A136">
            <v>515391</v>
          </cell>
          <cell r="B136" t="str">
            <v>Young Tots Day Nursery</v>
          </cell>
          <cell r="K136">
            <v>6</v>
          </cell>
          <cell r="L136">
            <v>6</v>
          </cell>
          <cell r="M136">
            <v>28</v>
          </cell>
          <cell r="N136">
            <v>0.21428571428571427</v>
          </cell>
        </row>
        <row r="137">
          <cell r="A137">
            <v>546446</v>
          </cell>
          <cell r="B137" t="str">
            <v>ABC Day Nursery / Play school (Spalding)</v>
          </cell>
          <cell r="K137">
            <v>4</v>
          </cell>
          <cell r="L137">
            <v>4</v>
          </cell>
          <cell r="M137">
            <v>19</v>
          </cell>
          <cell r="N137">
            <v>0.21052631578947367</v>
          </cell>
          <cell r="O137">
            <v>42</v>
          </cell>
          <cell r="P137">
            <v>84</v>
          </cell>
          <cell r="Q137" t="str">
            <v>0-7</v>
          </cell>
          <cell r="R137">
            <v>15</v>
          </cell>
          <cell r="T137">
            <v>0.22619047619047619</v>
          </cell>
        </row>
        <row r="138">
          <cell r="A138">
            <v>511797</v>
          </cell>
          <cell r="B138" t="str">
            <v>Albion House Nursery</v>
          </cell>
          <cell r="K138">
            <v>3</v>
          </cell>
          <cell r="L138">
            <v>3</v>
          </cell>
          <cell r="M138">
            <v>15</v>
          </cell>
          <cell r="N138">
            <v>0.2</v>
          </cell>
        </row>
        <row r="139">
          <cell r="A139">
            <v>546425</v>
          </cell>
          <cell r="B139" t="str">
            <v>Butterwick Pre School Play Group</v>
          </cell>
          <cell r="K139">
            <v>10</v>
          </cell>
          <cell r="L139">
            <v>10</v>
          </cell>
          <cell r="M139">
            <v>52</v>
          </cell>
          <cell r="N139">
            <v>0.19230769230769232</v>
          </cell>
          <cell r="O139">
            <v>34</v>
          </cell>
          <cell r="P139">
            <v>68</v>
          </cell>
          <cell r="Q139" t="str">
            <v>0-7</v>
          </cell>
          <cell r="R139">
            <v>10</v>
          </cell>
          <cell r="S139">
            <v>18</v>
          </cell>
          <cell r="T139">
            <v>0.76470588235294112</v>
          </cell>
        </row>
        <row r="140">
          <cell r="A140">
            <v>582223</v>
          </cell>
          <cell r="B140" t="str">
            <v>Tydd St Marys Preschool</v>
          </cell>
          <cell r="K140">
            <v>4</v>
          </cell>
          <cell r="L140">
            <v>4</v>
          </cell>
          <cell r="M140">
            <v>21</v>
          </cell>
          <cell r="N140">
            <v>0.19047619047619047</v>
          </cell>
          <cell r="O140">
            <v>36</v>
          </cell>
          <cell r="P140">
            <v>72</v>
          </cell>
          <cell r="Q140" t="str">
            <v>2-7</v>
          </cell>
          <cell r="T140">
            <v>0.29166666666666669</v>
          </cell>
        </row>
        <row r="141">
          <cell r="A141">
            <v>546500</v>
          </cell>
          <cell r="B141" t="str">
            <v>Toddle In Day Nursery</v>
          </cell>
          <cell r="K141">
            <v>5</v>
          </cell>
          <cell r="L141">
            <v>5</v>
          </cell>
          <cell r="M141">
            <v>27</v>
          </cell>
          <cell r="N141">
            <v>0.18518518518518517</v>
          </cell>
        </row>
        <row r="142">
          <cell r="A142">
            <v>517206</v>
          </cell>
          <cell r="B142" t="str">
            <v>County Hospital Day Nursery (under 5's)</v>
          </cell>
          <cell r="K142">
            <v>5</v>
          </cell>
          <cell r="L142">
            <v>5</v>
          </cell>
          <cell r="M142">
            <v>29</v>
          </cell>
          <cell r="N142">
            <v>0.17241379310344829</v>
          </cell>
          <cell r="O142">
            <v>47</v>
          </cell>
          <cell r="P142">
            <v>94</v>
          </cell>
          <cell r="Q142" t="str">
            <v>0-4</v>
          </cell>
          <cell r="R142">
            <v>15</v>
          </cell>
          <cell r="T142">
            <v>0.30851063829787234</v>
          </cell>
        </row>
        <row r="143">
          <cell r="A143">
            <v>546460</v>
          </cell>
          <cell r="B143" t="str">
            <v>Bubbles Day Nursery</v>
          </cell>
          <cell r="K143">
            <v>6</v>
          </cell>
          <cell r="L143">
            <v>6</v>
          </cell>
          <cell r="M143">
            <v>35</v>
          </cell>
          <cell r="N143">
            <v>0.17142857142857143</v>
          </cell>
          <cell r="O143">
            <v>42</v>
          </cell>
          <cell r="P143">
            <v>84</v>
          </cell>
          <cell r="Q143" t="str">
            <v>0-4</v>
          </cell>
          <cell r="R143">
            <v>12</v>
          </cell>
          <cell r="T143">
            <v>0.41666666666666669</v>
          </cell>
        </row>
        <row r="144">
          <cell r="A144">
            <v>581309</v>
          </cell>
          <cell r="B144" t="str">
            <v>Sleaford Methodist Preschool</v>
          </cell>
          <cell r="K144">
            <v>6</v>
          </cell>
          <cell r="L144">
            <v>6</v>
          </cell>
          <cell r="M144">
            <v>35</v>
          </cell>
          <cell r="N144">
            <v>0.17142857142857143</v>
          </cell>
          <cell r="O144">
            <v>72</v>
          </cell>
          <cell r="P144">
            <v>144</v>
          </cell>
          <cell r="Q144" t="str">
            <v>0-7</v>
          </cell>
          <cell r="R144">
            <v>15</v>
          </cell>
          <cell r="T144">
            <v>0.24305555555555555</v>
          </cell>
        </row>
        <row r="145">
          <cell r="A145">
            <v>546525</v>
          </cell>
          <cell r="B145" t="str">
            <v>Woodside Children's Nursery</v>
          </cell>
          <cell r="K145">
            <v>5</v>
          </cell>
          <cell r="L145">
            <v>5</v>
          </cell>
          <cell r="M145">
            <v>30</v>
          </cell>
          <cell r="N145">
            <v>0.16666666666666666</v>
          </cell>
          <cell r="O145">
            <v>26</v>
          </cell>
          <cell r="P145">
            <v>52</v>
          </cell>
          <cell r="Q145" t="str">
            <v>2-4</v>
          </cell>
          <cell r="T145">
            <v>0.57692307692307687</v>
          </cell>
        </row>
        <row r="146">
          <cell r="A146">
            <v>546499</v>
          </cell>
          <cell r="B146" t="str">
            <v>Bailgate Pre-school</v>
          </cell>
          <cell r="K146">
            <v>4</v>
          </cell>
          <cell r="L146">
            <v>4</v>
          </cell>
          <cell r="M146">
            <v>24</v>
          </cell>
          <cell r="N146">
            <v>0.16666666666666666</v>
          </cell>
          <cell r="O146">
            <v>38</v>
          </cell>
          <cell r="P146">
            <v>76</v>
          </cell>
          <cell r="Q146" t="str">
            <v>0-7</v>
          </cell>
          <cell r="R146">
            <v>12</v>
          </cell>
          <cell r="T146">
            <v>0.31578947368421051</v>
          </cell>
        </row>
        <row r="147">
          <cell r="A147">
            <v>518761</v>
          </cell>
          <cell r="B147" t="str">
            <v>Nettleham Preschool</v>
          </cell>
          <cell r="K147">
            <v>4</v>
          </cell>
          <cell r="L147">
            <v>4</v>
          </cell>
          <cell r="M147">
            <v>24</v>
          </cell>
          <cell r="N147">
            <v>0.16666666666666666</v>
          </cell>
          <cell r="O147">
            <v>24</v>
          </cell>
          <cell r="P147">
            <v>48</v>
          </cell>
          <cell r="Q147" t="str">
            <v>2-4</v>
          </cell>
          <cell r="T147">
            <v>0.5</v>
          </cell>
        </row>
        <row r="148">
          <cell r="A148">
            <v>514553</v>
          </cell>
          <cell r="B148" t="str">
            <v>Pilgrim Hospital Day Nursery</v>
          </cell>
          <cell r="K148">
            <v>4</v>
          </cell>
          <cell r="L148">
            <v>4</v>
          </cell>
          <cell r="M148">
            <v>24</v>
          </cell>
          <cell r="N148">
            <v>0.16666666666666666</v>
          </cell>
          <cell r="O148">
            <v>30</v>
          </cell>
          <cell r="P148">
            <v>60</v>
          </cell>
          <cell r="Q148" t="str">
            <v>2-4</v>
          </cell>
          <cell r="T148">
            <v>0.4</v>
          </cell>
        </row>
        <row r="149">
          <cell r="A149">
            <v>511347</v>
          </cell>
          <cell r="B149" t="str">
            <v>St Thomas Children's Centre</v>
          </cell>
          <cell r="K149">
            <v>9</v>
          </cell>
          <cell r="L149">
            <v>9</v>
          </cell>
          <cell r="M149">
            <v>59</v>
          </cell>
          <cell r="N149">
            <v>0.15254237288135594</v>
          </cell>
          <cell r="O149">
            <v>59</v>
          </cell>
          <cell r="P149">
            <v>118</v>
          </cell>
          <cell r="Q149" t="str">
            <v>0-7</v>
          </cell>
          <cell r="R149">
            <v>18</v>
          </cell>
          <cell r="T149">
            <v>0.5</v>
          </cell>
        </row>
        <row r="150">
          <cell r="A150">
            <v>597015</v>
          </cell>
          <cell r="B150" t="str">
            <v>Stepping Stones Nursery</v>
          </cell>
          <cell r="K150">
            <v>5</v>
          </cell>
          <cell r="L150">
            <v>5</v>
          </cell>
          <cell r="M150">
            <v>33</v>
          </cell>
          <cell r="N150">
            <v>0.15151515151515152</v>
          </cell>
          <cell r="O150">
            <v>30</v>
          </cell>
          <cell r="P150">
            <v>60</v>
          </cell>
          <cell r="Q150" t="str">
            <v>2-4</v>
          </cell>
          <cell r="T150">
            <v>0.55000000000000004</v>
          </cell>
        </row>
        <row r="151">
          <cell r="A151">
            <v>546454</v>
          </cell>
          <cell r="B151" t="str">
            <v>Woodlands  Day Nursery</v>
          </cell>
          <cell r="K151">
            <v>3</v>
          </cell>
          <cell r="L151">
            <v>3</v>
          </cell>
          <cell r="M151">
            <v>20</v>
          </cell>
          <cell r="N151">
            <v>0.15</v>
          </cell>
          <cell r="O151">
            <v>50</v>
          </cell>
          <cell r="P151">
            <v>100</v>
          </cell>
          <cell r="Q151" t="str">
            <v>0-7</v>
          </cell>
          <cell r="R151">
            <v>12</v>
          </cell>
          <cell r="T151">
            <v>0.2</v>
          </cell>
        </row>
        <row r="152">
          <cell r="A152">
            <v>530216</v>
          </cell>
          <cell r="B152" t="str">
            <v>The Children's Garden Day Centre</v>
          </cell>
          <cell r="K152">
            <v>3</v>
          </cell>
          <cell r="L152">
            <v>3</v>
          </cell>
          <cell r="M152">
            <v>21</v>
          </cell>
          <cell r="N152">
            <v>0.14285714285714285</v>
          </cell>
          <cell r="O152">
            <v>30</v>
          </cell>
          <cell r="P152">
            <v>60</v>
          </cell>
          <cell r="Q152" t="str">
            <v>0-7</v>
          </cell>
          <cell r="R152">
            <v>21</v>
          </cell>
          <cell r="T152">
            <v>0.35</v>
          </cell>
        </row>
        <row r="153">
          <cell r="A153">
            <v>511648</v>
          </cell>
          <cell r="B153" t="str">
            <v>Rainbow Nursery</v>
          </cell>
          <cell r="K153">
            <v>5</v>
          </cell>
          <cell r="L153">
            <v>5</v>
          </cell>
          <cell r="M153">
            <v>37</v>
          </cell>
          <cell r="N153">
            <v>0.13513513513513514</v>
          </cell>
          <cell r="O153">
            <v>35</v>
          </cell>
          <cell r="P153">
            <v>70</v>
          </cell>
          <cell r="Q153" t="str">
            <v>0-4</v>
          </cell>
          <cell r="R153">
            <v>9</v>
          </cell>
          <cell r="T153">
            <v>0.52857142857142858</v>
          </cell>
        </row>
        <row r="154">
          <cell r="A154">
            <v>597011</v>
          </cell>
          <cell r="B154" t="str">
            <v>Rainbow  Day Nursery</v>
          </cell>
          <cell r="K154">
            <v>3</v>
          </cell>
          <cell r="L154">
            <v>3</v>
          </cell>
          <cell r="M154">
            <v>23</v>
          </cell>
          <cell r="N154">
            <v>0.13043478260869565</v>
          </cell>
          <cell r="O154">
            <v>49</v>
          </cell>
          <cell r="P154">
            <v>98</v>
          </cell>
          <cell r="Q154" t="str">
            <v>0-7</v>
          </cell>
          <cell r="R154">
            <v>9</v>
          </cell>
          <cell r="S154">
            <v>23</v>
          </cell>
          <cell r="T154">
            <v>0.23469387755102042</v>
          </cell>
        </row>
        <row r="155">
          <cell r="A155">
            <v>546498</v>
          </cell>
          <cell r="B155" t="str">
            <v>Angels Childcare</v>
          </cell>
          <cell r="K155">
            <v>2</v>
          </cell>
          <cell r="L155">
            <v>2</v>
          </cell>
          <cell r="M155">
            <v>16</v>
          </cell>
          <cell r="N155">
            <v>0.125</v>
          </cell>
          <cell r="O155">
            <v>32</v>
          </cell>
          <cell r="P155">
            <v>64</v>
          </cell>
          <cell r="Q155" t="str">
            <v>0-4</v>
          </cell>
          <cell r="R155">
            <v>9</v>
          </cell>
          <cell r="T155">
            <v>0.25</v>
          </cell>
        </row>
        <row r="156">
          <cell r="A156">
            <v>515115</v>
          </cell>
          <cell r="B156" t="str">
            <v>Busy Bees Preschool playgroup</v>
          </cell>
          <cell r="K156">
            <v>2</v>
          </cell>
          <cell r="L156">
            <v>2</v>
          </cell>
          <cell r="M156">
            <v>16</v>
          </cell>
          <cell r="N156">
            <v>0.125</v>
          </cell>
        </row>
        <row r="157">
          <cell r="A157">
            <v>546469</v>
          </cell>
          <cell r="B157" t="str">
            <v>Mon Ami Children's Nursery</v>
          </cell>
          <cell r="K157">
            <v>2</v>
          </cell>
          <cell r="L157">
            <v>2</v>
          </cell>
          <cell r="M157">
            <v>16</v>
          </cell>
          <cell r="N157">
            <v>0.125</v>
          </cell>
          <cell r="O157">
            <v>20</v>
          </cell>
          <cell r="P157">
            <v>40</v>
          </cell>
          <cell r="Q157" t="str">
            <v>2-4</v>
          </cell>
          <cell r="T157">
            <v>0.4</v>
          </cell>
        </row>
        <row r="158">
          <cell r="A158">
            <v>514127</v>
          </cell>
          <cell r="B158" t="str">
            <v>Witham Hall Preparatory School</v>
          </cell>
          <cell r="D158">
            <v>1</v>
          </cell>
          <cell r="L158">
            <v>1</v>
          </cell>
          <cell r="M158">
            <v>8</v>
          </cell>
          <cell r="N158">
            <v>0.125</v>
          </cell>
        </row>
        <row r="159">
          <cell r="A159">
            <v>546441</v>
          </cell>
          <cell r="B159" t="str">
            <v>St George’s Square Nursery</v>
          </cell>
          <cell r="K159">
            <v>5</v>
          </cell>
          <cell r="L159">
            <v>5</v>
          </cell>
          <cell r="M159">
            <v>41</v>
          </cell>
          <cell r="N159">
            <v>0.12195121951219512</v>
          </cell>
        </row>
        <row r="160">
          <cell r="A160">
            <v>546504</v>
          </cell>
          <cell r="B160" t="str">
            <v>Red Hen Children's Day Nursery</v>
          </cell>
          <cell r="K160">
            <v>4</v>
          </cell>
          <cell r="L160">
            <v>4</v>
          </cell>
          <cell r="M160">
            <v>33</v>
          </cell>
          <cell r="N160">
            <v>0.12121212121212122</v>
          </cell>
        </row>
        <row r="161">
          <cell r="A161">
            <v>519970</v>
          </cell>
          <cell r="B161" t="str">
            <v>Puddle ducks Day Nursery</v>
          </cell>
          <cell r="K161">
            <v>3</v>
          </cell>
          <cell r="L161">
            <v>3</v>
          </cell>
          <cell r="M161">
            <v>25</v>
          </cell>
          <cell r="N161">
            <v>0.12</v>
          </cell>
          <cell r="O161">
            <v>72</v>
          </cell>
          <cell r="P161">
            <v>144</v>
          </cell>
          <cell r="Q161" t="str">
            <v>0-7</v>
          </cell>
          <cell r="R161">
            <v>18</v>
          </cell>
          <cell r="T161">
            <v>0.1736111111111111</v>
          </cell>
        </row>
        <row r="162">
          <cell r="A162">
            <v>523755</v>
          </cell>
          <cell r="B162" t="str">
            <v>St Mary's Prep School</v>
          </cell>
          <cell r="D162">
            <v>5</v>
          </cell>
          <cell r="L162">
            <v>5</v>
          </cell>
          <cell r="M162">
            <v>42</v>
          </cell>
          <cell r="N162">
            <v>0.11904761904761904</v>
          </cell>
        </row>
        <row r="163">
          <cell r="A163">
            <v>511050</v>
          </cell>
          <cell r="B163" t="str">
            <v>Handel House Prep. School</v>
          </cell>
          <cell r="D163">
            <v>2</v>
          </cell>
          <cell r="L163">
            <v>2</v>
          </cell>
          <cell r="M163">
            <v>17</v>
          </cell>
          <cell r="N163">
            <v>0.11764705882352941</v>
          </cell>
        </row>
        <row r="164">
          <cell r="A164">
            <v>580702</v>
          </cell>
          <cell r="B164" t="str">
            <v>Headstart Nursery Grantham</v>
          </cell>
          <cell r="K164">
            <v>11</v>
          </cell>
          <cell r="L164">
            <v>11</v>
          </cell>
          <cell r="M164">
            <v>97</v>
          </cell>
          <cell r="N164">
            <v>0.1134020618556701</v>
          </cell>
        </row>
        <row r="165">
          <cell r="A165">
            <v>517705</v>
          </cell>
          <cell r="B165" t="str">
            <v>Acorn Pre-school (Whaplode)</v>
          </cell>
          <cell r="K165">
            <v>4</v>
          </cell>
          <cell r="L165">
            <v>4</v>
          </cell>
          <cell r="M165">
            <v>36</v>
          </cell>
          <cell r="N165">
            <v>0.1111111111111111</v>
          </cell>
          <cell r="O165">
            <v>145</v>
          </cell>
          <cell r="P165">
            <v>290</v>
          </cell>
          <cell r="Q165" t="str">
            <v>0-7</v>
          </cell>
          <cell r="R165">
            <v>39</v>
          </cell>
          <cell r="T165">
            <v>0.12413793103448276</v>
          </cell>
        </row>
        <row r="166">
          <cell r="A166">
            <v>517560</v>
          </cell>
          <cell r="B166" t="str">
            <v>Horncastle Community Play Group</v>
          </cell>
          <cell r="K166">
            <v>2</v>
          </cell>
          <cell r="L166">
            <v>2</v>
          </cell>
          <cell r="M166">
            <v>18</v>
          </cell>
          <cell r="N166">
            <v>0.1111111111111111</v>
          </cell>
        </row>
        <row r="167">
          <cell r="A167">
            <v>530625</v>
          </cell>
          <cell r="B167" t="str">
            <v>Rainbow Play Group</v>
          </cell>
          <cell r="K167">
            <v>2</v>
          </cell>
          <cell r="L167">
            <v>2</v>
          </cell>
          <cell r="M167">
            <v>18</v>
          </cell>
          <cell r="N167">
            <v>0.1111111111111111</v>
          </cell>
          <cell r="O167">
            <v>20</v>
          </cell>
          <cell r="P167">
            <v>40</v>
          </cell>
          <cell r="Q167" t="str">
            <v>2-4</v>
          </cell>
          <cell r="T167">
            <v>0.45</v>
          </cell>
        </row>
        <row r="168">
          <cell r="A168">
            <v>546540</v>
          </cell>
          <cell r="B168" t="str">
            <v>Start Right Ancaster</v>
          </cell>
          <cell r="K168">
            <v>1</v>
          </cell>
          <cell r="L168">
            <v>1</v>
          </cell>
          <cell r="M168">
            <v>9</v>
          </cell>
          <cell r="N168">
            <v>0.1111111111111111</v>
          </cell>
          <cell r="O168">
            <v>35</v>
          </cell>
          <cell r="P168">
            <v>70</v>
          </cell>
          <cell r="Q168" t="str">
            <v>2-4</v>
          </cell>
          <cell r="T168">
            <v>0.12857142857142856</v>
          </cell>
        </row>
        <row r="169">
          <cell r="A169">
            <v>546497</v>
          </cell>
          <cell r="B169" t="str">
            <v>Gipsy Bridge Preschool</v>
          </cell>
          <cell r="K169">
            <v>3</v>
          </cell>
          <cell r="L169">
            <v>3</v>
          </cell>
          <cell r="M169">
            <v>28</v>
          </cell>
          <cell r="N169">
            <v>0.10714285714285714</v>
          </cell>
        </row>
        <row r="170">
          <cell r="A170">
            <v>546488</v>
          </cell>
          <cell r="B170" t="str">
            <v>Timtin Playgroup and Kids Club</v>
          </cell>
          <cell r="K170">
            <v>2</v>
          </cell>
          <cell r="L170">
            <v>2</v>
          </cell>
          <cell r="M170">
            <v>19</v>
          </cell>
          <cell r="N170">
            <v>0.10526315789473684</v>
          </cell>
          <cell r="O170">
            <v>34</v>
          </cell>
          <cell r="P170">
            <v>68</v>
          </cell>
          <cell r="Q170" t="str">
            <v>2-7</v>
          </cell>
          <cell r="T170">
            <v>0.27941176470588236</v>
          </cell>
        </row>
        <row r="171">
          <cell r="A171">
            <v>546411</v>
          </cell>
          <cell r="B171" t="str">
            <v>Teddy Bears kindergarten</v>
          </cell>
          <cell r="K171">
            <v>1</v>
          </cell>
          <cell r="L171">
            <v>1</v>
          </cell>
          <cell r="M171">
            <v>10</v>
          </cell>
          <cell r="N171">
            <v>0.1</v>
          </cell>
          <cell r="O171">
            <v>24</v>
          </cell>
          <cell r="P171">
            <v>48</v>
          </cell>
          <cell r="Q171" t="str">
            <v>2-7</v>
          </cell>
          <cell r="T171">
            <v>0.20833333333333334</v>
          </cell>
        </row>
        <row r="172">
          <cell r="A172">
            <v>524422</v>
          </cell>
          <cell r="B172" t="str">
            <v>345 Pre-School Playgroup</v>
          </cell>
          <cell r="K172">
            <v>3</v>
          </cell>
          <cell r="L172">
            <v>3</v>
          </cell>
          <cell r="M172">
            <v>31</v>
          </cell>
          <cell r="N172">
            <v>9.6774193548387094E-2</v>
          </cell>
        </row>
        <row r="173">
          <cell r="A173">
            <v>546544</v>
          </cell>
          <cell r="B173" t="str">
            <v>Honey Pot Day Nusery and Pre School</v>
          </cell>
          <cell r="K173">
            <v>2</v>
          </cell>
          <cell r="L173">
            <v>2</v>
          </cell>
          <cell r="M173">
            <v>21</v>
          </cell>
          <cell r="N173">
            <v>9.5238095238095233E-2</v>
          </cell>
        </row>
        <row r="174">
          <cell r="A174">
            <v>530214</v>
          </cell>
          <cell r="B174" t="str">
            <v>Twiglets Day Nursery</v>
          </cell>
          <cell r="K174">
            <v>2</v>
          </cell>
          <cell r="L174">
            <v>2</v>
          </cell>
          <cell r="M174">
            <v>21</v>
          </cell>
          <cell r="N174">
            <v>9.5238095238095233E-2</v>
          </cell>
        </row>
        <row r="175">
          <cell r="A175">
            <v>522691</v>
          </cell>
          <cell r="B175" t="str">
            <v>Swineshead Pre school Play Group</v>
          </cell>
          <cell r="K175">
            <v>5</v>
          </cell>
          <cell r="L175">
            <v>5</v>
          </cell>
          <cell r="M175">
            <v>55</v>
          </cell>
          <cell r="N175">
            <v>9.0909090909090912E-2</v>
          </cell>
        </row>
        <row r="176">
          <cell r="A176">
            <v>582850</v>
          </cell>
          <cell r="B176" t="str">
            <v>Beckside Preschool</v>
          </cell>
          <cell r="K176">
            <v>3</v>
          </cell>
          <cell r="L176">
            <v>3</v>
          </cell>
          <cell r="M176">
            <v>33</v>
          </cell>
          <cell r="N176">
            <v>9.0909090909090912E-2</v>
          </cell>
          <cell r="O176">
            <v>18</v>
          </cell>
          <cell r="P176">
            <v>36</v>
          </cell>
          <cell r="Q176" t="str">
            <v>2-7</v>
          </cell>
          <cell r="T176">
            <v>0.91666666666666663</v>
          </cell>
        </row>
        <row r="177">
          <cell r="A177">
            <v>546495</v>
          </cell>
          <cell r="B177" t="str">
            <v>Puddle ducks Preschool</v>
          </cell>
          <cell r="K177">
            <v>2</v>
          </cell>
          <cell r="L177">
            <v>2</v>
          </cell>
          <cell r="M177">
            <v>22</v>
          </cell>
          <cell r="N177">
            <v>9.0909090909090912E-2</v>
          </cell>
          <cell r="O177">
            <v>30</v>
          </cell>
          <cell r="P177">
            <v>60</v>
          </cell>
          <cell r="Q177" t="str">
            <v>2-4</v>
          </cell>
          <cell r="T177">
            <v>0.36666666666666664</v>
          </cell>
        </row>
        <row r="178">
          <cell r="A178">
            <v>546453</v>
          </cell>
          <cell r="B178" t="str">
            <v>Castlegate Day Nursery</v>
          </cell>
          <cell r="K178">
            <v>1</v>
          </cell>
          <cell r="L178">
            <v>1</v>
          </cell>
          <cell r="M178">
            <v>11</v>
          </cell>
          <cell r="N178">
            <v>9.0909090909090912E-2</v>
          </cell>
          <cell r="O178">
            <v>20</v>
          </cell>
          <cell r="P178">
            <v>40</v>
          </cell>
          <cell r="Q178" t="str">
            <v>2-7</v>
          </cell>
          <cell r="T178">
            <v>0.27500000000000002</v>
          </cell>
        </row>
        <row r="179">
          <cell r="A179">
            <v>524155</v>
          </cell>
          <cell r="B179" t="str">
            <v>Happy Days Preschool</v>
          </cell>
          <cell r="K179">
            <v>1</v>
          </cell>
          <cell r="L179">
            <v>1</v>
          </cell>
          <cell r="M179">
            <v>11</v>
          </cell>
          <cell r="N179">
            <v>9.0909090909090912E-2</v>
          </cell>
        </row>
        <row r="180">
          <cell r="A180">
            <v>582060</v>
          </cell>
          <cell r="B180" t="str">
            <v>Lilliput Day Nursery Spalding</v>
          </cell>
          <cell r="K180">
            <v>3</v>
          </cell>
          <cell r="L180">
            <v>3</v>
          </cell>
          <cell r="M180">
            <v>34</v>
          </cell>
          <cell r="N180">
            <v>8.8235294117647065E-2</v>
          </cell>
        </row>
        <row r="181">
          <cell r="A181">
            <v>511317</v>
          </cell>
          <cell r="B181" t="str">
            <v>The Rocking Horse Nursery</v>
          </cell>
          <cell r="K181">
            <v>2</v>
          </cell>
          <cell r="L181">
            <v>2</v>
          </cell>
          <cell r="M181">
            <v>24</v>
          </cell>
          <cell r="N181">
            <v>8.3333333333333329E-2</v>
          </cell>
        </row>
        <row r="182">
          <cell r="A182">
            <v>515356</v>
          </cell>
          <cell r="B182" t="str">
            <v>Cinder Ash Preschool</v>
          </cell>
          <cell r="K182">
            <v>1</v>
          </cell>
          <cell r="L182">
            <v>1</v>
          </cell>
          <cell r="M182">
            <v>12</v>
          </cell>
          <cell r="N182">
            <v>8.3333333333333329E-2</v>
          </cell>
          <cell r="O182">
            <v>48</v>
          </cell>
          <cell r="P182">
            <v>96</v>
          </cell>
          <cell r="Q182" t="str">
            <v>0-4</v>
          </cell>
          <cell r="R182">
            <v>19</v>
          </cell>
          <cell r="T182">
            <v>0.125</v>
          </cell>
        </row>
        <row r="183">
          <cell r="A183">
            <v>546508</v>
          </cell>
          <cell r="B183" t="str">
            <v>Digby Village Play group</v>
          </cell>
          <cell r="K183">
            <v>1</v>
          </cell>
          <cell r="L183">
            <v>1</v>
          </cell>
          <cell r="M183">
            <v>12</v>
          </cell>
          <cell r="N183">
            <v>8.3333333333333329E-2</v>
          </cell>
        </row>
        <row r="184">
          <cell r="A184">
            <v>546538</v>
          </cell>
          <cell r="B184" t="str">
            <v>Wellies</v>
          </cell>
          <cell r="K184">
            <v>1</v>
          </cell>
          <cell r="L184">
            <v>1</v>
          </cell>
          <cell r="M184">
            <v>12</v>
          </cell>
          <cell r="N184">
            <v>8.3333333333333329E-2</v>
          </cell>
        </row>
        <row r="185">
          <cell r="A185">
            <v>597003</v>
          </cell>
          <cell r="B185" t="str">
            <v>Welton PreSchool</v>
          </cell>
          <cell r="K185">
            <v>1</v>
          </cell>
          <cell r="L185">
            <v>1</v>
          </cell>
          <cell r="M185">
            <v>12</v>
          </cell>
          <cell r="N185">
            <v>8.3333333333333329E-2</v>
          </cell>
        </row>
        <row r="186">
          <cell r="A186">
            <v>546496</v>
          </cell>
          <cell r="B186" t="str">
            <v>Carlton Day Nursery (under 5's)</v>
          </cell>
          <cell r="K186">
            <v>3</v>
          </cell>
          <cell r="L186">
            <v>3</v>
          </cell>
          <cell r="M186">
            <v>37</v>
          </cell>
          <cell r="N186">
            <v>8.1081081081081086E-2</v>
          </cell>
        </row>
        <row r="187">
          <cell r="A187">
            <v>522694</v>
          </cell>
          <cell r="B187" t="str">
            <v>Busy Bees Playgroup</v>
          </cell>
          <cell r="K187">
            <v>1</v>
          </cell>
          <cell r="L187">
            <v>1</v>
          </cell>
          <cell r="M187">
            <v>15</v>
          </cell>
          <cell r="N187">
            <v>6.6666666666666666E-2</v>
          </cell>
          <cell r="O187">
            <v>64</v>
          </cell>
          <cell r="P187">
            <v>128</v>
          </cell>
          <cell r="Q187" t="str">
            <v>0-7</v>
          </cell>
          <cell r="R187">
            <v>21</v>
          </cell>
          <cell r="T187">
            <v>0.1171875</v>
          </cell>
        </row>
        <row r="188">
          <cell r="A188">
            <v>546448</v>
          </cell>
          <cell r="B188" t="str">
            <v>Marsh Childcare Centre</v>
          </cell>
          <cell r="K188">
            <v>1</v>
          </cell>
          <cell r="L188">
            <v>1</v>
          </cell>
          <cell r="M188">
            <v>15</v>
          </cell>
          <cell r="N188">
            <v>6.6666666666666666E-2</v>
          </cell>
        </row>
        <row r="189">
          <cell r="A189">
            <v>546477</v>
          </cell>
          <cell r="B189" t="str">
            <v>Westfield Farm Day Nursery</v>
          </cell>
          <cell r="K189">
            <v>1</v>
          </cell>
          <cell r="L189">
            <v>1</v>
          </cell>
          <cell r="M189">
            <v>15</v>
          </cell>
          <cell r="N189">
            <v>6.6666666666666666E-2</v>
          </cell>
        </row>
        <row r="190">
          <cell r="A190">
            <v>582439</v>
          </cell>
          <cell r="B190" t="str">
            <v>Holy Trinity Preschool</v>
          </cell>
          <cell r="K190">
            <v>3</v>
          </cell>
          <cell r="L190">
            <v>3</v>
          </cell>
          <cell r="M190">
            <v>47</v>
          </cell>
          <cell r="N190">
            <v>6.3829787234042548E-2</v>
          </cell>
        </row>
        <row r="191">
          <cell r="A191">
            <v>9252114</v>
          </cell>
          <cell r="B191" t="str">
            <v>Spalding Monkshouse Primary School</v>
          </cell>
          <cell r="F191">
            <v>3.0952380952380949</v>
          </cell>
          <cell r="L191">
            <v>3.0952380952380949</v>
          </cell>
          <cell r="M191">
            <v>52</v>
          </cell>
          <cell r="N191">
            <v>5.9523809523809521E-2</v>
          </cell>
          <cell r="O191">
            <v>32</v>
          </cell>
          <cell r="P191">
            <v>64</v>
          </cell>
          <cell r="Q191" t="str">
            <v>2-4</v>
          </cell>
          <cell r="T191">
            <v>0.8125</v>
          </cell>
        </row>
        <row r="192">
          <cell r="A192">
            <v>518763</v>
          </cell>
          <cell r="B192" t="str">
            <v>Meynell Kindergarten</v>
          </cell>
          <cell r="K192">
            <v>3</v>
          </cell>
          <cell r="L192">
            <v>3</v>
          </cell>
          <cell r="M192">
            <v>51</v>
          </cell>
          <cell r="N192">
            <v>5.8823529411764705E-2</v>
          </cell>
          <cell r="O192">
            <v>52</v>
          </cell>
          <cell r="P192">
            <v>52</v>
          </cell>
          <cell r="T192">
            <v>0.98076923076923073</v>
          </cell>
        </row>
        <row r="193">
          <cell r="A193">
            <v>546536</v>
          </cell>
          <cell r="B193" t="str">
            <v>Munchkins Kindergarten</v>
          </cell>
          <cell r="K193">
            <v>1</v>
          </cell>
          <cell r="L193">
            <v>1</v>
          </cell>
          <cell r="M193">
            <v>17</v>
          </cell>
          <cell r="N193">
            <v>5.8823529411764705E-2</v>
          </cell>
          <cell r="O193">
            <v>48</v>
          </cell>
          <cell r="P193">
            <v>96</v>
          </cell>
          <cell r="Q193" t="str">
            <v>0-7</v>
          </cell>
          <cell r="T193">
            <v>0.17708333333333334</v>
          </cell>
        </row>
        <row r="194">
          <cell r="A194">
            <v>515191</v>
          </cell>
          <cell r="B194" t="str">
            <v>Lincoln Minster Prep. School</v>
          </cell>
          <cell r="D194">
            <v>2</v>
          </cell>
          <cell r="L194">
            <v>2</v>
          </cell>
          <cell r="M194">
            <v>35</v>
          </cell>
          <cell r="N194">
            <v>5.7142857142857141E-2</v>
          </cell>
        </row>
        <row r="195">
          <cell r="A195">
            <v>9252057</v>
          </cell>
          <cell r="B195" t="str">
            <v>North Hykeham Fosse Way Primary School</v>
          </cell>
          <cell r="F195">
            <v>2.8977272727272725</v>
          </cell>
          <cell r="L195">
            <v>2.8977272727272725</v>
          </cell>
          <cell r="M195">
            <v>51</v>
          </cell>
          <cell r="N195">
            <v>5.6818181818181816E-2</v>
          </cell>
        </row>
        <row r="196">
          <cell r="A196">
            <v>546512</v>
          </cell>
          <cell r="B196" t="str">
            <v>Little Leaps</v>
          </cell>
          <cell r="K196">
            <v>1</v>
          </cell>
          <cell r="L196">
            <v>1</v>
          </cell>
          <cell r="M196">
            <v>18</v>
          </cell>
          <cell r="N196">
            <v>5.5555555555555552E-2</v>
          </cell>
          <cell r="O196">
            <v>52</v>
          </cell>
          <cell r="P196">
            <v>52</v>
          </cell>
          <cell r="T196">
            <v>0.34615384615384615</v>
          </cell>
        </row>
        <row r="197">
          <cell r="A197">
            <v>521717</v>
          </cell>
          <cell r="B197" t="str">
            <v>Sleaford New Life Preschool</v>
          </cell>
          <cell r="K197">
            <v>2</v>
          </cell>
          <cell r="L197">
            <v>2</v>
          </cell>
          <cell r="M197">
            <v>39</v>
          </cell>
          <cell r="N197">
            <v>5.128205128205128E-2</v>
          </cell>
        </row>
        <row r="198">
          <cell r="A198">
            <v>597004</v>
          </cell>
          <cell r="B198" t="str">
            <v>Ruskington Rascals Playgroup</v>
          </cell>
          <cell r="K198">
            <v>2</v>
          </cell>
          <cell r="L198">
            <v>2</v>
          </cell>
          <cell r="M198">
            <v>40</v>
          </cell>
          <cell r="N198">
            <v>0.05</v>
          </cell>
          <cell r="O198">
            <v>24</v>
          </cell>
          <cell r="P198">
            <v>48</v>
          </cell>
          <cell r="Q198" t="str">
            <v>2-4</v>
          </cell>
          <cell r="T198">
            <v>0.83333333333333337</v>
          </cell>
        </row>
        <row r="199">
          <cell r="A199">
            <v>585591</v>
          </cell>
          <cell r="B199" t="str">
            <v>Sunflowers Nursery School</v>
          </cell>
          <cell r="K199">
            <v>2</v>
          </cell>
          <cell r="L199">
            <v>2</v>
          </cell>
          <cell r="M199">
            <v>40</v>
          </cell>
          <cell r="N199">
            <v>0.05</v>
          </cell>
          <cell r="O199">
            <v>38</v>
          </cell>
          <cell r="P199">
            <v>76</v>
          </cell>
          <cell r="Q199" t="str">
            <v>2-4</v>
          </cell>
          <cell r="T199">
            <v>0.52631578947368418</v>
          </cell>
        </row>
        <row r="200">
          <cell r="A200">
            <v>9252095</v>
          </cell>
          <cell r="B200" t="str">
            <v>Long Sutton Primary</v>
          </cell>
          <cell r="F200">
            <v>1.85</v>
          </cell>
          <cell r="L200">
            <v>1.85</v>
          </cell>
          <cell r="M200">
            <v>37</v>
          </cell>
          <cell r="N200">
            <v>0.05</v>
          </cell>
          <cell r="O200">
            <v>50</v>
          </cell>
          <cell r="P200">
            <v>100</v>
          </cell>
          <cell r="Q200" t="str">
            <v>0-4</v>
          </cell>
          <cell r="R200">
            <v>14</v>
          </cell>
          <cell r="T200">
            <v>0.37</v>
          </cell>
        </row>
        <row r="201">
          <cell r="A201">
            <v>514039</v>
          </cell>
          <cell r="B201" t="str">
            <v>Bardney Play Group</v>
          </cell>
          <cell r="K201">
            <v>1</v>
          </cell>
          <cell r="L201">
            <v>1</v>
          </cell>
          <cell r="M201">
            <v>20</v>
          </cell>
          <cell r="N201">
            <v>0.05</v>
          </cell>
          <cell r="O201">
            <v>52</v>
          </cell>
          <cell r="P201">
            <v>52</v>
          </cell>
          <cell r="T201">
            <v>0.38461538461538464</v>
          </cell>
        </row>
        <row r="202">
          <cell r="A202">
            <v>546430</v>
          </cell>
          <cell r="B202" t="str">
            <v>Swallows Nest Preschool</v>
          </cell>
          <cell r="K202">
            <v>1</v>
          </cell>
          <cell r="L202">
            <v>1</v>
          </cell>
          <cell r="M202">
            <v>21</v>
          </cell>
          <cell r="N202">
            <v>4.7619047619047616E-2</v>
          </cell>
        </row>
        <row r="203">
          <cell r="A203">
            <v>546405</v>
          </cell>
          <cell r="B203" t="str">
            <v>Hilltop Day Nursery</v>
          </cell>
          <cell r="K203">
            <v>2</v>
          </cell>
          <cell r="L203">
            <v>2</v>
          </cell>
          <cell r="M203">
            <v>43</v>
          </cell>
          <cell r="N203">
            <v>4.6511627906976744E-2</v>
          </cell>
        </row>
        <row r="204">
          <cell r="A204">
            <v>9252224</v>
          </cell>
          <cell r="B204" t="str">
            <v>Ruskington Winchelsea Primary School</v>
          </cell>
          <cell r="F204">
            <v>0.59090909090909094</v>
          </cell>
          <cell r="L204">
            <v>0.59090909090909094</v>
          </cell>
          <cell r="M204">
            <v>13</v>
          </cell>
          <cell r="N204">
            <v>4.5454545454545456E-2</v>
          </cell>
          <cell r="O204">
            <v>59</v>
          </cell>
          <cell r="P204">
            <v>118</v>
          </cell>
          <cell r="Q204" t="str">
            <v>0-4</v>
          </cell>
          <cell r="R204">
            <v>18</v>
          </cell>
          <cell r="T204">
            <v>0.11016949152542373</v>
          </cell>
        </row>
        <row r="205">
          <cell r="A205">
            <v>513161</v>
          </cell>
          <cell r="B205" t="str">
            <v>Rainbow Preschool</v>
          </cell>
          <cell r="K205">
            <v>1</v>
          </cell>
          <cell r="L205">
            <v>1</v>
          </cell>
          <cell r="M205">
            <v>23</v>
          </cell>
          <cell r="N205">
            <v>4.3478260869565216E-2</v>
          </cell>
          <cell r="O205">
            <v>26</v>
          </cell>
          <cell r="P205">
            <v>26</v>
          </cell>
          <cell r="T205">
            <v>0.88461538461538458</v>
          </cell>
        </row>
        <row r="206">
          <cell r="A206">
            <v>517645</v>
          </cell>
          <cell r="B206" t="str">
            <v>Jacdor Community Preschool</v>
          </cell>
          <cell r="K206">
            <v>2</v>
          </cell>
          <cell r="L206">
            <v>2</v>
          </cell>
          <cell r="M206">
            <v>47</v>
          </cell>
          <cell r="N206">
            <v>4.2553191489361701E-2</v>
          </cell>
        </row>
        <row r="207">
          <cell r="A207">
            <v>546548</v>
          </cell>
          <cell r="B207" t="str">
            <v>Castlegate Montessori Nursery</v>
          </cell>
          <cell r="K207">
            <v>1</v>
          </cell>
          <cell r="L207">
            <v>1</v>
          </cell>
          <cell r="M207">
            <v>24</v>
          </cell>
          <cell r="N207">
            <v>4.1666666666666664E-2</v>
          </cell>
          <cell r="O207">
            <v>32</v>
          </cell>
          <cell r="P207">
            <v>64</v>
          </cell>
          <cell r="Q207" t="str">
            <v>2-4</v>
          </cell>
          <cell r="T207">
            <v>0.375</v>
          </cell>
        </row>
        <row r="208">
          <cell r="A208">
            <v>546409</v>
          </cell>
          <cell r="B208" t="str">
            <v>Honeypot Preschool</v>
          </cell>
          <cell r="K208">
            <v>1</v>
          </cell>
          <cell r="L208">
            <v>1</v>
          </cell>
          <cell r="M208">
            <v>24</v>
          </cell>
          <cell r="N208">
            <v>4.1666666666666664E-2</v>
          </cell>
        </row>
        <row r="209">
          <cell r="A209">
            <v>514428</v>
          </cell>
          <cell r="B209" t="str">
            <v>Sunshine Playgroup</v>
          </cell>
          <cell r="K209">
            <v>1</v>
          </cell>
          <cell r="L209">
            <v>1</v>
          </cell>
          <cell r="M209">
            <v>24</v>
          </cell>
          <cell r="N209">
            <v>4.1666666666666664E-2</v>
          </cell>
        </row>
        <row r="210">
          <cell r="A210">
            <v>513238</v>
          </cell>
          <cell r="B210" t="str">
            <v>Early Bird Nursery</v>
          </cell>
          <cell r="K210">
            <v>3</v>
          </cell>
          <cell r="L210">
            <v>3</v>
          </cell>
          <cell r="M210">
            <v>73</v>
          </cell>
          <cell r="N210">
            <v>4.1095890410958902E-2</v>
          </cell>
        </row>
        <row r="211">
          <cell r="A211">
            <v>519681</v>
          </cell>
          <cell r="B211" t="str">
            <v>Tetney Preschool playgroup</v>
          </cell>
          <cell r="K211">
            <v>1</v>
          </cell>
          <cell r="L211">
            <v>1</v>
          </cell>
          <cell r="M211">
            <v>25</v>
          </cell>
          <cell r="N211">
            <v>0.04</v>
          </cell>
        </row>
        <row r="212">
          <cell r="A212">
            <v>546442</v>
          </cell>
          <cell r="B212" t="str">
            <v>Redcroft Day Nursery</v>
          </cell>
          <cell r="K212">
            <v>2</v>
          </cell>
          <cell r="L212">
            <v>2</v>
          </cell>
          <cell r="M212">
            <v>52</v>
          </cell>
          <cell r="N212">
            <v>3.8461538461538464E-2</v>
          </cell>
        </row>
        <row r="213">
          <cell r="A213">
            <v>546483</v>
          </cell>
          <cell r="B213" t="str">
            <v>St Nicholas Day Nursery</v>
          </cell>
          <cell r="K213">
            <v>1</v>
          </cell>
          <cell r="L213">
            <v>1</v>
          </cell>
          <cell r="M213">
            <v>26</v>
          </cell>
          <cell r="N213">
            <v>3.8461538461538464E-2</v>
          </cell>
          <cell r="O213">
            <v>48</v>
          </cell>
          <cell r="P213">
            <v>96</v>
          </cell>
          <cell r="Q213" t="str">
            <v>0-7</v>
          </cell>
          <cell r="R213">
            <v>12</v>
          </cell>
          <cell r="T213">
            <v>0.27083333333333331</v>
          </cell>
        </row>
        <row r="214">
          <cell r="A214">
            <v>511568</v>
          </cell>
          <cell r="B214" t="str">
            <v>Bright Sparks Kindergarten</v>
          </cell>
          <cell r="K214">
            <v>1</v>
          </cell>
          <cell r="L214">
            <v>1</v>
          </cell>
          <cell r="M214">
            <v>27</v>
          </cell>
          <cell r="N214">
            <v>3.7037037037037035E-2</v>
          </cell>
        </row>
        <row r="215">
          <cell r="A215">
            <v>515011</v>
          </cell>
          <cell r="B215" t="str">
            <v>William Farr Preschool</v>
          </cell>
          <cell r="K215">
            <v>1</v>
          </cell>
          <cell r="L215">
            <v>1</v>
          </cell>
          <cell r="M215">
            <v>29</v>
          </cell>
          <cell r="N215">
            <v>3.4482758620689655E-2</v>
          </cell>
        </row>
        <row r="216">
          <cell r="A216">
            <v>546501</v>
          </cell>
          <cell r="B216" t="str">
            <v>St Hughs Preschool Playcentre</v>
          </cell>
          <cell r="K216">
            <v>1</v>
          </cell>
          <cell r="L216">
            <v>1</v>
          </cell>
          <cell r="M216">
            <v>31</v>
          </cell>
          <cell r="N216">
            <v>3.2258064516129031E-2</v>
          </cell>
        </row>
        <row r="217">
          <cell r="A217">
            <v>515387</v>
          </cell>
          <cell r="B217" t="str">
            <v>Barrowby Preschool</v>
          </cell>
          <cell r="K217">
            <v>1</v>
          </cell>
          <cell r="L217">
            <v>1</v>
          </cell>
          <cell r="M217">
            <v>32</v>
          </cell>
          <cell r="N217">
            <v>3.125E-2</v>
          </cell>
        </row>
        <row r="218">
          <cell r="A218">
            <v>585063</v>
          </cell>
          <cell r="B218" t="str">
            <v>Cherry Tots Pre-school Play Group</v>
          </cell>
          <cell r="K218">
            <v>1</v>
          </cell>
          <cell r="L218">
            <v>1</v>
          </cell>
          <cell r="M218">
            <v>32</v>
          </cell>
          <cell r="N218">
            <v>3.125E-2</v>
          </cell>
        </row>
        <row r="219">
          <cell r="A219">
            <v>512141</v>
          </cell>
          <cell r="B219" t="str">
            <v>Little Scallywags Skellingthorpe</v>
          </cell>
          <cell r="K219">
            <v>1</v>
          </cell>
          <cell r="L219">
            <v>1</v>
          </cell>
          <cell r="M219">
            <v>32</v>
          </cell>
          <cell r="N219">
            <v>3.125E-2</v>
          </cell>
        </row>
        <row r="220">
          <cell r="A220">
            <v>524320</v>
          </cell>
          <cell r="B220" t="str">
            <v>White Gate House kindergarten</v>
          </cell>
          <cell r="K220">
            <v>1</v>
          </cell>
          <cell r="L220">
            <v>1</v>
          </cell>
          <cell r="M220">
            <v>34</v>
          </cell>
          <cell r="N220">
            <v>2.9411764705882353E-2</v>
          </cell>
        </row>
        <row r="221">
          <cell r="A221">
            <v>530215</v>
          </cell>
          <cell r="B221" t="str">
            <v>Sleaford Day Nursery</v>
          </cell>
          <cell r="K221">
            <v>1</v>
          </cell>
          <cell r="L221">
            <v>1</v>
          </cell>
          <cell r="M221">
            <v>35</v>
          </cell>
          <cell r="N221">
            <v>2.8571428571428571E-2</v>
          </cell>
        </row>
        <row r="222">
          <cell r="A222">
            <v>512509</v>
          </cell>
          <cell r="B222" t="str">
            <v>Bassingham Preschool</v>
          </cell>
          <cell r="K222">
            <v>1</v>
          </cell>
          <cell r="L222">
            <v>1</v>
          </cell>
          <cell r="M222">
            <v>36</v>
          </cell>
          <cell r="N222">
            <v>2.7777777777777776E-2</v>
          </cell>
        </row>
        <row r="223">
          <cell r="A223">
            <v>9255212</v>
          </cell>
          <cell r="B223" t="str">
            <v>Washingborough Foundation Primary School</v>
          </cell>
          <cell r="G223">
            <v>0.51219512195121952</v>
          </cell>
          <cell r="L223">
            <v>0.51219512195121952</v>
          </cell>
          <cell r="M223">
            <v>21</v>
          </cell>
          <cell r="N223">
            <v>2.4390243902439025E-2</v>
          </cell>
        </row>
        <row r="224">
          <cell r="A224">
            <v>584111</v>
          </cell>
          <cell r="B224" t="str">
            <v>Abbey 345 Playgroup</v>
          </cell>
          <cell r="K224">
            <v>1</v>
          </cell>
          <cell r="L224">
            <v>1</v>
          </cell>
          <cell r="M224">
            <v>45</v>
          </cell>
          <cell r="N224">
            <v>2.2222222222222223E-2</v>
          </cell>
          <cell r="O224">
            <v>21</v>
          </cell>
          <cell r="P224">
            <v>21</v>
          </cell>
          <cell r="T224">
            <v>2.1428571428571428</v>
          </cell>
        </row>
        <row r="225">
          <cell r="A225">
            <v>525554</v>
          </cell>
          <cell r="B225" t="str">
            <v>Headstart Nursery Market Deeping</v>
          </cell>
          <cell r="K225">
            <v>1</v>
          </cell>
          <cell r="L225">
            <v>1</v>
          </cell>
          <cell r="M225">
            <v>49</v>
          </cell>
          <cell r="N225">
            <v>2.0408163265306121E-2</v>
          </cell>
        </row>
        <row r="226">
          <cell r="A226">
            <v>511148</v>
          </cell>
          <cell r="B226" t="str">
            <v>Copt Hill Nursery &amp; Prep School</v>
          </cell>
          <cell r="D226">
            <v>1</v>
          </cell>
          <cell r="L226">
            <v>1</v>
          </cell>
          <cell r="M226">
            <v>50</v>
          </cell>
          <cell r="N226">
            <v>0.02</v>
          </cell>
        </row>
        <row r="227">
          <cell r="A227">
            <v>519534</v>
          </cell>
          <cell r="B227" t="str">
            <v>RAF Conningsby Nursery Centre</v>
          </cell>
          <cell r="K227">
            <v>1</v>
          </cell>
          <cell r="L227">
            <v>1</v>
          </cell>
          <cell r="M227">
            <v>51</v>
          </cell>
          <cell r="N227">
            <v>1.9607843137254902E-2</v>
          </cell>
        </row>
        <row r="228">
          <cell r="A228">
            <v>580648</v>
          </cell>
          <cell r="B228" t="str">
            <v>The Old Station Nursery Ltd (Waddington)</v>
          </cell>
          <cell r="K228">
            <v>1</v>
          </cell>
          <cell r="L228">
            <v>1</v>
          </cell>
          <cell r="M228">
            <v>51</v>
          </cell>
          <cell r="N228">
            <v>1.9607843137254902E-2</v>
          </cell>
        </row>
        <row r="229">
          <cell r="A229">
            <v>515290</v>
          </cell>
          <cell r="B229" t="str">
            <v>Park School Day Nursery</v>
          </cell>
          <cell r="K229">
            <v>1</v>
          </cell>
          <cell r="L229">
            <v>1</v>
          </cell>
          <cell r="M229">
            <v>53</v>
          </cell>
          <cell r="N229">
            <v>1.8867924528301886E-2</v>
          </cell>
        </row>
        <row r="230">
          <cell r="A230">
            <v>546485</v>
          </cell>
          <cell r="B230" t="str">
            <v>Town &amp; Country Kiddies (Market Rasen)</v>
          </cell>
          <cell r="K230">
            <v>0</v>
          </cell>
          <cell r="L230">
            <v>0</v>
          </cell>
          <cell r="M230">
            <v>28</v>
          </cell>
          <cell r="N230">
            <v>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Notes"/>
      <sheetName val="Front"/>
      <sheetName val="1 - Summary"/>
      <sheetName val="2 - Pupil no proj"/>
      <sheetName val="3 - Budget Share proj"/>
      <sheetName val="4a - Teaching Staff"/>
      <sheetName val="4b - Teaching Staff"/>
      <sheetName val="5a - Non-Teaching Staff"/>
      <sheetName val="5b - Non-Teaching Staff"/>
      <sheetName val="6 - Expenditure proj"/>
      <sheetName val="7 - Standards Fund"/>
      <sheetName val="10 - Salary Scales"/>
      <sheetName val="Basic Information"/>
      <sheetName val="NI &amp; Super Rates"/>
      <sheetName val="SCP Conversion"/>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8">
          <cell r="G8" t="str">
            <v>2010/11</v>
          </cell>
        </row>
        <row r="10">
          <cell r="G10" t="str">
            <v>2011/12</v>
          </cell>
        </row>
        <row r="11">
          <cell r="G11" t="str">
            <v>2012/13</v>
          </cell>
        </row>
        <row r="12">
          <cell r="G12" t="str">
            <v>2013/14</v>
          </cell>
        </row>
        <row r="13">
          <cell r="G13" t="str">
            <v>2014/15</v>
          </cell>
        </row>
        <row r="14">
          <cell r="G14" t="str">
            <v>2009/10</v>
          </cell>
        </row>
      </sheetData>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15.bin"/><Relationship Id="rId5" Type="http://schemas.openxmlformats.org/officeDocument/2006/relationships/image" Target="../media/image1.emf"/><Relationship Id="rId4" Type="http://schemas.openxmlformats.org/officeDocument/2006/relationships/oleObject" Target="../embeddings/Microsoft_Word_97_-_2003_Document1.doc"/></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51"/>
  <sheetViews>
    <sheetView zoomScale="85" zoomScaleNormal="85" workbookViewId="0">
      <selection activeCell="G13" sqref="G13"/>
    </sheetView>
  </sheetViews>
  <sheetFormatPr defaultRowHeight="12.75" x14ac:dyDescent="0.2"/>
  <cols>
    <col min="1" max="1" width="40.7109375" customWidth="1"/>
    <col min="2" max="2" width="17.85546875" customWidth="1"/>
    <col min="3" max="3" width="40.7109375" customWidth="1"/>
    <col min="4" max="5" width="17.85546875" customWidth="1"/>
    <col min="6" max="6" width="22.140625" customWidth="1"/>
    <col min="7" max="7" width="10.28515625" bestFit="1" customWidth="1"/>
    <col min="8" max="8" width="17.85546875" bestFit="1" customWidth="1"/>
    <col min="9" max="9" width="14.28515625" customWidth="1"/>
    <col min="11" max="11" width="10.140625" customWidth="1"/>
  </cols>
  <sheetData>
    <row r="2" spans="1:8" x14ac:dyDescent="0.2">
      <c r="A2" s="45" t="s">
        <v>90</v>
      </c>
      <c r="B2" s="2"/>
    </row>
    <row r="4" spans="1:8" x14ac:dyDescent="0.2">
      <c r="A4" s="18" t="s">
        <v>91</v>
      </c>
    </row>
    <row r="5" spans="1:8" x14ac:dyDescent="0.2">
      <c r="A5" s="2" t="s">
        <v>92</v>
      </c>
    </row>
    <row r="7" spans="1:8" ht="25.5" x14ac:dyDescent="0.2">
      <c r="A7" s="3" t="s">
        <v>1</v>
      </c>
      <c r="B7" s="3"/>
      <c r="C7" s="4" t="s">
        <v>2</v>
      </c>
      <c r="D7" s="5"/>
    </row>
    <row r="8" spans="1:8" x14ac:dyDescent="0.2">
      <c r="A8" s="68" t="s">
        <v>3</v>
      </c>
      <c r="B8" s="69">
        <v>313003</v>
      </c>
      <c r="C8" s="70" t="s">
        <v>4</v>
      </c>
      <c r="D8" s="71">
        <v>16104</v>
      </c>
    </row>
    <row r="9" spans="1:8" x14ac:dyDescent="0.2">
      <c r="A9" s="68" t="s">
        <v>5</v>
      </c>
      <c r="B9" s="69">
        <v>19122</v>
      </c>
      <c r="C9" s="72" t="s">
        <v>6</v>
      </c>
      <c r="D9" s="71">
        <v>46830</v>
      </c>
      <c r="F9" s="2" t="s">
        <v>7</v>
      </c>
    </row>
    <row r="10" spans="1:8" x14ac:dyDescent="0.2">
      <c r="A10" s="68" t="s">
        <v>8</v>
      </c>
      <c r="B10" s="69">
        <v>34683</v>
      </c>
      <c r="C10" s="72" t="s">
        <v>9</v>
      </c>
      <c r="D10" s="71">
        <v>29462.360655737706</v>
      </c>
      <c r="F10" s="2" t="s">
        <v>10</v>
      </c>
      <c r="G10" s="7">
        <v>30</v>
      </c>
    </row>
    <row r="11" spans="1:8" x14ac:dyDescent="0.2">
      <c r="A11" s="68" t="s">
        <v>11</v>
      </c>
      <c r="B11" s="69">
        <v>38121</v>
      </c>
      <c r="C11" s="72" t="s">
        <v>12</v>
      </c>
      <c r="D11" s="71">
        <v>3000</v>
      </c>
      <c r="F11" s="2" t="s">
        <v>13</v>
      </c>
      <c r="G11" s="7">
        <v>30</v>
      </c>
    </row>
    <row r="12" spans="1:8" x14ac:dyDescent="0.2">
      <c r="A12" s="68" t="s">
        <v>14</v>
      </c>
      <c r="B12" s="69">
        <v>34803</v>
      </c>
      <c r="C12" s="72" t="s">
        <v>15</v>
      </c>
      <c r="D12" s="71">
        <v>3000</v>
      </c>
      <c r="F12" s="2" t="s">
        <v>16</v>
      </c>
      <c r="G12" s="7">
        <v>30</v>
      </c>
    </row>
    <row r="13" spans="1:8" ht="13.5" thickBot="1" x14ac:dyDescent="0.25">
      <c r="A13" s="68" t="s">
        <v>17</v>
      </c>
      <c r="B13" s="69">
        <v>1271</v>
      </c>
      <c r="C13" s="72" t="s">
        <v>18</v>
      </c>
      <c r="D13" s="71">
        <v>11592</v>
      </c>
      <c r="F13" s="2"/>
      <c r="G13" s="8">
        <f>SUM(G10:G12)</f>
        <v>90</v>
      </c>
    </row>
    <row r="14" spans="1:8" x14ac:dyDescent="0.2">
      <c r="A14" s="68" t="s">
        <v>20</v>
      </c>
      <c r="B14" s="69">
        <v>46404</v>
      </c>
      <c r="C14" s="72" t="s">
        <v>21</v>
      </c>
      <c r="D14" s="71">
        <v>9750</v>
      </c>
    </row>
    <row r="15" spans="1:8" x14ac:dyDescent="0.2">
      <c r="A15" s="68" t="s">
        <v>22</v>
      </c>
      <c r="B15" s="69">
        <v>17462</v>
      </c>
      <c r="C15" s="72" t="s">
        <v>23</v>
      </c>
      <c r="D15" s="71">
        <v>7500</v>
      </c>
      <c r="F15" s="10" t="s">
        <v>26</v>
      </c>
      <c r="G15" s="11">
        <v>12431.498557692306</v>
      </c>
      <c r="H15" s="12" t="s">
        <v>27</v>
      </c>
    </row>
    <row r="16" spans="1:8" x14ac:dyDescent="0.2">
      <c r="A16" s="68" t="s">
        <v>24</v>
      </c>
      <c r="B16" s="69">
        <v>16371</v>
      </c>
      <c r="C16" s="72" t="s">
        <v>25</v>
      </c>
      <c r="D16" s="71">
        <v>750</v>
      </c>
      <c r="F16" s="12" t="s">
        <v>29</v>
      </c>
      <c r="G16" s="10"/>
      <c r="H16" s="10"/>
    </row>
    <row r="17" spans="1:13" x14ac:dyDescent="0.2">
      <c r="A17" s="73"/>
      <c r="B17" s="73"/>
      <c r="C17" s="72" t="s">
        <v>28</v>
      </c>
      <c r="D17" s="71">
        <v>15000</v>
      </c>
    </row>
    <row r="18" spans="1:13" x14ac:dyDescent="0.2">
      <c r="A18" s="73"/>
      <c r="B18" s="73"/>
      <c r="C18" s="72" t="s">
        <v>30</v>
      </c>
      <c r="D18" s="71">
        <v>9000</v>
      </c>
    </row>
    <row r="19" spans="1:13" x14ac:dyDescent="0.2">
      <c r="A19" s="73"/>
      <c r="B19" s="73"/>
      <c r="C19" s="70" t="s">
        <v>31</v>
      </c>
      <c r="D19" s="71">
        <v>2490</v>
      </c>
    </row>
    <row r="20" spans="1:13" x14ac:dyDescent="0.2">
      <c r="A20" s="73"/>
      <c r="B20" s="73"/>
      <c r="C20" s="74" t="s">
        <v>32</v>
      </c>
      <c r="D20" s="71">
        <v>35000</v>
      </c>
    </row>
    <row r="21" spans="1:13" x14ac:dyDescent="0.2">
      <c r="A21" s="73"/>
      <c r="B21" s="73"/>
      <c r="C21" s="74" t="s">
        <v>33</v>
      </c>
      <c r="D21" s="71">
        <v>30851</v>
      </c>
    </row>
    <row r="22" spans="1:13" x14ac:dyDescent="0.2">
      <c r="A22" s="73"/>
      <c r="B22" s="73"/>
      <c r="C22" s="76"/>
      <c r="D22" s="77"/>
    </row>
    <row r="23" spans="1:13" x14ac:dyDescent="0.2">
      <c r="A23" s="18" t="s">
        <v>104</v>
      </c>
      <c r="B23" s="73"/>
      <c r="C23" s="76"/>
      <c r="D23" s="77"/>
    </row>
    <row r="25" spans="1:13" x14ac:dyDescent="0.2">
      <c r="A25" s="2" t="s">
        <v>34</v>
      </c>
      <c r="B25" s="13">
        <f>SUM(B8:B16)</f>
        <v>521240</v>
      </c>
      <c r="D25" s="2" t="s">
        <v>7</v>
      </c>
      <c r="G25" s="46"/>
      <c r="H25" s="47"/>
      <c r="I25" s="48"/>
      <c r="J25" s="49"/>
      <c r="K25" s="50"/>
      <c r="L25" s="46"/>
      <c r="M25" s="47"/>
    </row>
    <row r="26" spans="1:13" x14ac:dyDescent="0.2">
      <c r="A26" s="2" t="s">
        <v>35</v>
      </c>
      <c r="B26" s="13">
        <f>SUM(D8:D20)</f>
        <v>189478.36065573769</v>
      </c>
      <c r="D26" s="2" t="s">
        <v>10</v>
      </c>
      <c r="E26" s="7">
        <v>30</v>
      </c>
      <c r="H26" s="47"/>
      <c r="I26" s="48"/>
      <c r="J26" s="49"/>
      <c r="K26" s="50"/>
      <c r="L26" s="51"/>
      <c r="M26" s="47"/>
    </row>
    <row r="27" spans="1:13" x14ac:dyDescent="0.2">
      <c r="A27" s="2" t="s">
        <v>36</v>
      </c>
      <c r="B27" s="13">
        <f>G13*G15</f>
        <v>1118834.8701923075</v>
      </c>
      <c r="C27" s="1"/>
      <c r="D27" s="2" t="s">
        <v>13</v>
      </c>
      <c r="E27" s="7">
        <v>30</v>
      </c>
      <c r="H27" s="47"/>
      <c r="I27" s="48"/>
      <c r="J27" s="49"/>
      <c r="K27" s="50"/>
      <c r="L27" s="51"/>
      <c r="M27" s="47"/>
    </row>
    <row r="28" spans="1:13" x14ac:dyDescent="0.2">
      <c r="A28" s="2" t="s">
        <v>33</v>
      </c>
      <c r="B28" s="13">
        <f>D21</f>
        <v>30851</v>
      </c>
      <c r="D28" s="2" t="s">
        <v>16</v>
      </c>
      <c r="E28" s="7">
        <v>30</v>
      </c>
      <c r="H28" s="47"/>
      <c r="I28" s="48"/>
      <c r="J28" s="49"/>
      <c r="K28" s="50"/>
      <c r="L28" s="51"/>
      <c r="M28" s="47"/>
    </row>
    <row r="29" spans="1:13" ht="13.5" thickBot="1" x14ac:dyDescent="0.25">
      <c r="B29" s="14">
        <f>SUM(B25:B28)</f>
        <v>1860404.2308480451</v>
      </c>
      <c r="C29" s="2" t="s">
        <v>93</v>
      </c>
      <c r="D29" s="2"/>
      <c r="E29" s="16">
        <f>SUM(E26:E28)</f>
        <v>90</v>
      </c>
      <c r="H29" s="47"/>
      <c r="I29" s="47"/>
      <c r="J29" s="47"/>
      <c r="K29" s="50"/>
      <c r="L29" s="47"/>
      <c r="M29" s="47"/>
    </row>
    <row r="30" spans="1:13" x14ac:dyDescent="0.2">
      <c r="B30" s="24"/>
      <c r="C30" s="52"/>
      <c r="E30" s="17">
        <f>E29*65%</f>
        <v>58.5</v>
      </c>
      <c r="F30" s="2" t="s">
        <v>39</v>
      </c>
      <c r="H30" s="47"/>
      <c r="I30" s="47"/>
      <c r="J30" s="47"/>
      <c r="K30" s="47"/>
      <c r="L30" s="47"/>
      <c r="M30" s="47"/>
    </row>
    <row r="31" spans="1:13" x14ac:dyDescent="0.2">
      <c r="H31" s="47"/>
      <c r="I31" s="53"/>
      <c r="J31" s="53"/>
      <c r="K31" s="53"/>
      <c r="L31" s="53"/>
      <c r="M31" s="53"/>
    </row>
    <row r="32" spans="1:13" x14ac:dyDescent="0.2">
      <c r="A32" s="18" t="s">
        <v>40</v>
      </c>
      <c r="B32" s="7" t="s">
        <v>41</v>
      </c>
      <c r="C32" s="7" t="s">
        <v>42</v>
      </c>
      <c r="F32" s="9"/>
      <c r="H32" s="47"/>
      <c r="I32" s="53"/>
      <c r="J32" s="53"/>
      <c r="K32" s="53"/>
      <c r="L32" s="53"/>
      <c r="M32" s="53"/>
    </row>
    <row r="33" spans="1:13" x14ac:dyDescent="0.2">
      <c r="A33" t="s">
        <v>43</v>
      </c>
      <c r="B33" s="13">
        <v>8000</v>
      </c>
      <c r="C33" s="13">
        <f>B33*G13</f>
        <v>720000</v>
      </c>
    </row>
    <row r="34" spans="1:13" x14ac:dyDescent="0.2">
      <c r="A34" t="s">
        <v>44</v>
      </c>
      <c r="B34" s="13">
        <f>(B29-C33)/(65%*G13)</f>
        <v>19494.089416205898</v>
      </c>
      <c r="C34" s="13">
        <f>B34*E30</f>
        <v>1140404.2308480451</v>
      </c>
      <c r="D34" t="s">
        <v>45</v>
      </c>
    </row>
    <row r="35" spans="1:13" ht="12.75" customHeight="1" x14ac:dyDescent="0.2">
      <c r="A35" t="s">
        <v>46</v>
      </c>
      <c r="B35" s="13">
        <v>0</v>
      </c>
      <c r="C35" s="13">
        <v>0</v>
      </c>
      <c r="D35" t="s">
        <v>47</v>
      </c>
      <c r="H35" s="54"/>
      <c r="I35" s="54"/>
      <c r="J35" s="54"/>
      <c r="K35" s="54"/>
      <c r="L35" s="54"/>
      <c r="M35" s="54"/>
    </row>
    <row r="36" spans="1:13" ht="13.5" thickBot="1" x14ac:dyDescent="0.25">
      <c r="B36" s="13"/>
      <c r="C36" s="14">
        <f>SUM(C33:C35)</f>
        <v>1860404.2308480451</v>
      </c>
      <c r="E36" s="54"/>
      <c r="F36" s="54"/>
      <c r="G36" s="54"/>
      <c r="H36" s="54"/>
      <c r="I36" s="54"/>
      <c r="J36" s="54"/>
      <c r="K36" s="54"/>
      <c r="L36" s="54"/>
      <c r="M36" s="54"/>
    </row>
    <row r="37" spans="1:13" x14ac:dyDescent="0.2">
      <c r="D37" s="54"/>
      <c r="E37" s="55"/>
      <c r="F37" s="55"/>
      <c r="G37" s="54"/>
      <c r="H37" s="54"/>
      <c r="I37" s="56"/>
      <c r="J37" s="56"/>
    </row>
    <row r="38" spans="1:13" x14ac:dyDescent="0.2">
      <c r="A38" s="18" t="s">
        <v>94</v>
      </c>
      <c r="B38" s="24"/>
      <c r="C38" s="377"/>
      <c r="D38" s="54"/>
      <c r="E38" s="54"/>
      <c r="F38" s="54"/>
      <c r="G38" s="54"/>
      <c r="H38" s="54"/>
      <c r="I38" s="56"/>
      <c r="J38" s="56"/>
    </row>
    <row r="39" spans="1:13" x14ac:dyDescent="0.2">
      <c r="B39" s="1"/>
      <c r="C39" s="377"/>
      <c r="D39" s="54"/>
      <c r="E39" s="54"/>
      <c r="F39" s="54"/>
      <c r="G39" s="54"/>
      <c r="H39" s="54"/>
      <c r="I39" s="56"/>
      <c r="J39" s="56"/>
    </row>
    <row r="40" spans="1:13" x14ac:dyDescent="0.2">
      <c r="A40" s="57" t="s">
        <v>95</v>
      </c>
      <c r="B40" s="58">
        <v>56237</v>
      </c>
      <c r="D40" s="54"/>
      <c r="E40" s="54"/>
      <c r="F40" s="54"/>
      <c r="G40" s="54"/>
      <c r="H40" s="54"/>
      <c r="I40" s="56"/>
      <c r="J40" s="56"/>
    </row>
    <row r="41" spans="1:13" x14ac:dyDescent="0.2">
      <c r="A41" s="57" t="s">
        <v>96</v>
      </c>
      <c r="B41" s="58">
        <v>112424</v>
      </c>
      <c r="D41" s="54"/>
      <c r="E41" s="54"/>
      <c r="F41" s="54"/>
      <c r="G41" s="54"/>
      <c r="H41" s="54"/>
      <c r="I41" s="56"/>
      <c r="J41" s="56"/>
    </row>
    <row r="42" spans="1:13" x14ac:dyDescent="0.2">
      <c r="A42" s="57" t="s">
        <v>97</v>
      </c>
      <c r="B42" s="58">
        <v>449189</v>
      </c>
      <c r="D42" s="54"/>
      <c r="E42" s="54"/>
      <c r="F42" s="54"/>
      <c r="G42" s="54"/>
      <c r="H42" s="54"/>
      <c r="I42" s="56"/>
      <c r="J42" s="56"/>
    </row>
    <row r="43" spans="1:13" x14ac:dyDescent="0.2">
      <c r="A43" s="57" t="s">
        <v>98</v>
      </c>
      <c r="B43" s="58">
        <v>733278</v>
      </c>
      <c r="C43" s="1"/>
      <c r="D43" s="54"/>
      <c r="E43" s="54"/>
      <c r="F43" s="54"/>
      <c r="G43" s="54"/>
      <c r="H43" s="54"/>
      <c r="I43" s="56"/>
      <c r="J43" s="56"/>
    </row>
    <row r="44" spans="1:13" x14ac:dyDescent="0.2">
      <c r="A44" s="57" t="s">
        <v>99</v>
      </c>
      <c r="B44" s="58">
        <v>541251</v>
      </c>
      <c r="D44" s="54"/>
      <c r="E44" s="54"/>
      <c r="F44" s="54"/>
      <c r="G44" s="54"/>
      <c r="H44" s="54"/>
      <c r="I44" s="56"/>
      <c r="J44" s="56"/>
    </row>
    <row r="45" spans="1:13" x14ac:dyDescent="0.2">
      <c r="A45" s="59"/>
      <c r="B45" s="60">
        <f>SUM(B40:B44)</f>
        <v>1892379</v>
      </c>
      <c r="C45" s="2"/>
      <c r="D45" s="54"/>
      <c r="E45" s="54"/>
      <c r="F45" s="54"/>
      <c r="G45" s="54"/>
      <c r="H45" s="54"/>
      <c r="I45" s="56"/>
      <c r="J45" s="56"/>
    </row>
    <row r="46" spans="1:13" x14ac:dyDescent="0.2">
      <c r="A46" s="61"/>
      <c r="B46" s="62"/>
      <c r="C46" s="2"/>
      <c r="D46" s="54"/>
      <c r="E46" s="54"/>
      <c r="F46" s="54"/>
      <c r="G46" s="54"/>
      <c r="H46" s="54"/>
      <c r="I46" s="56"/>
      <c r="J46" s="56"/>
    </row>
    <row r="47" spans="1:13" s="20" customFormat="1" x14ac:dyDescent="0.2">
      <c r="A47" s="61"/>
      <c r="B47" s="63">
        <f>B45-B29</f>
        <v>31974.769151954912</v>
      </c>
      <c r="C47" s="64" t="s">
        <v>87</v>
      </c>
    </row>
    <row r="48" spans="1:13" s="20" customFormat="1" x14ac:dyDescent="0.2">
      <c r="A48" s="61"/>
      <c r="B48" s="63"/>
      <c r="C48" s="64"/>
    </row>
    <row r="49" spans="1:3" s="20" customFormat="1" x14ac:dyDescent="0.2">
      <c r="A49" s="61"/>
      <c r="B49" s="63">
        <v>35000</v>
      </c>
      <c r="C49" s="41" t="s">
        <v>82</v>
      </c>
    </row>
    <row r="50" spans="1:3" s="20" customFormat="1" x14ac:dyDescent="0.2">
      <c r="A50" s="61"/>
      <c r="B50" s="63"/>
      <c r="C50" s="64"/>
    </row>
    <row r="51" spans="1:3" x14ac:dyDescent="0.2">
      <c r="B51" s="13">
        <f>B49-B47</f>
        <v>3025.2308480450884</v>
      </c>
      <c r="C51" t="s">
        <v>100</v>
      </c>
    </row>
  </sheetData>
  <sheetProtection password="C462" sheet="1" objects="1" scenarios="1"/>
  <mergeCells count="1">
    <mergeCell ref="C38:C39"/>
  </mergeCells>
  <pageMargins left="0.70866141732283472" right="0.70866141732283472" top="0.74803149606299213" bottom="0.74803149606299213" header="0.31496062992125984" footer="0.31496062992125984"/>
  <pageSetup paperSize="9" scale="5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65"/>
  <sheetViews>
    <sheetView zoomScale="85" zoomScaleNormal="85" workbookViewId="0">
      <selection activeCell="D30" sqref="D30"/>
    </sheetView>
  </sheetViews>
  <sheetFormatPr defaultRowHeight="12.75" x14ac:dyDescent="0.2"/>
  <cols>
    <col min="1" max="1" width="50" customWidth="1"/>
    <col min="2" max="2" width="27.7109375" customWidth="1"/>
    <col min="3" max="3" width="3.42578125" customWidth="1"/>
    <col min="4" max="5" width="25.7109375" customWidth="1"/>
    <col min="6" max="6" width="37.7109375" customWidth="1"/>
    <col min="7" max="7" width="40.7109375" customWidth="1"/>
  </cols>
  <sheetData>
    <row r="1" spans="1:9" ht="18" x14ac:dyDescent="0.25">
      <c r="A1" s="165" t="s">
        <v>250</v>
      </c>
    </row>
    <row r="3" spans="1:9" ht="22.5" customHeight="1" x14ac:dyDescent="0.2">
      <c r="A3" s="157" t="s">
        <v>343</v>
      </c>
      <c r="B3" s="242"/>
      <c r="C3" s="158"/>
      <c r="F3" s="259"/>
      <c r="G3" s="259"/>
      <c r="H3" s="187"/>
      <c r="I3" s="65"/>
    </row>
    <row r="4" spans="1:9" x14ac:dyDescent="0.2">
      <c r="A4" s="263"/>
      <c r="B4" s="131"/>
      <c r="C4" s="131"/>
      <c r="F4" s="260"/>
      <c r="G4" s="261"/>
      <c r="H4" s="77"/>
      <c r="I4" s="65"/>
    </row>
    <row r="5" spans="1:9" x14ac:dyDescent="0.2">
      <c r="A5" s="272" t="s">
        <v>342</v>
      </c>
      <c r="B5" s="273">
        <v>142</v>
      </c>
      <c r="C5" s="203">
        <v>1</v>
      </c>
      <c r="F5" s="96"/>
      <c r="G5" s="189"/>
      <c r="H5" s="77"/>
      <c r="I5" s="65"/>
    </row>
    <row r="6" spans="1:9" x14ac:dyDescent="0.2">
      <c r="A6" s="264"/>
      <c r="B6" s="265"/>
      <c r="C6" s="203"/>
      <c r="F6" s="96"/>
      <c r="G6" s="189"/>
      <c r="H6" s="77"/>
      <c r="I6" s="65"/>
    </row>
    <row r="7" spans="1:9" x14ac:dyDescent="0.2">
      <c r="A7" s="269"/>
      <c r="B7" s="271" t="s">
        <v>345</v>
      </c>
      <c r="C7" s="274"/>
      <c r="D7" s="183"/>
      <c r="F7" s="262"/>
      <c r="G7" s="189"/>
      <c r="H7" s="77"/>
      <c r="I7" s="65"/>
    </row>
    <row r="8" spans="1:9" x14ac:dyDescent="0.2">
      <c r="A8" s="174" t="s">
        <v>164</v>
      </c>
      <c r="B8" s="266">
        <v>10000</v>
      </c>
      <c r="C8" s="275">
        <v>2</v>
      </c>
      <c r="D8" s="183"/>
      <c r="F8" s="96"/>
      <c r="G8" s="189"/>
      <c r="H8" s="77"/>
      <c r="I8" s="65"/>
    </row>
    <row r="9" spans="1:9" x14ac:dyDescent="0.2">
      <c r="A9" s="270" t="s">
        <v>160</v>
      </c>
      <c r="B9" s="266">
        <v>10500</v>
      </c>
      <c r="C9" s="275">
        <v>3</v>
      </c>
      <c r="D9" s="183"/>
      <c r="F9" s="96"/>
      <c r="G9" s="189"/>
      <c r="H9" s="77"/>
      <c r="I9" s="65"/>
    </row>
    <row r="10" spans="1:9" x14ac:dyDescent="0.2">
      <c r="A10" s="267" t="s">
        <v>344</v>
      </c>
      <c r="B10" s="268">
        <f>SUM(B8:B9)</f>
        <v>20500</v>
      </c>
      <c r="C10" s="275">
        <v>4</v>
      </c>
      <c r="D10" s="183"/>
      <c r="F10" s="96"/>
      <c r="G10" s="189"/>
      <c r="H10" s="77"/>
      <c r="I10" s="65"/>
    </row>
    <row r="11" spans="1:9" x14ac:dyDescent="0.2">
      <c r="B11" s="13"/>
      <c r="C11" s="258"/>
      <c r="D11" s="183"/>
      <c r="F11" s="262"/>
      <c r="G11" s="189"/>
      <c r="H11" s="77"/>
      <c r="I11" s="65"/>
    </row>
    <row r="12" spans="1:9" ht="12.75" customHeight="1" x14ac:dyDescent="0.2">
      <c r="A12" s="396" t="s">
        <v>346</v>
      </c>
      <c r="B12" s="396"/>
      <c r="C12" s="396"/>
      <c r="D12" s="396"/>
      <c r="E12" s="396"/>
      <c r="F12" s="396"/>
      <c r="G12" s="396"/>
      <c r="H12" s="77"/>
      <c r="I12" s="65"/>
    </row>
    <row r="13" spans="1:9" x14ac:dyDescent="0.2">
      <c r="A13" s="396"/>
      <c r="B13" s="396"/>
      <c r="C13" s="396"/>
      <c r="D13" s="396"/>
      <c r="E13" s="396"/>
      <c r="F13" s="396"/>
      <c r="G13" s="396"/>
      <c r="H13" s="77"/>
      <c r="I13" s="65"/>
    </row>
    <row r="14" spans="1:9" x14ac:dyDescent="0.2">
      <c r="A14" s="396"/>
      <c r="B14" s="396"/>
      <c r="C14" s="396"/>
      <c r="D14" s="396"/>
      <c r="E14" s="396"/>
      <c r="F14" s="396"/>
      <c r="G14" s="396"/>
      <c r="I14" s="65"/>
    </row>
    <row r="15" spans="1:9" ht="13.5" thickBot="1" x14ac:dyDescent="0.25">
      <c r="A15" s="19"/>
      <c r="B15" s="19"/>
      <c r="C15" s="19"/>
      <c r="D15" s="19"/>
      <c r="E15" s="19"/>
      <c r="F15" s="19"/>
      <c r="G15" s="19"/>
      <c r="H15" s="19"/>
      <c r="I15" s="65"/>
    </row>
    <row r="16" spans="1:9" x14ac:dyDescent="0.2">
      <c r="A16" s="65"/>
      <c r="B16" s="65"/>
      <c r="C16" s="65"/>
      <c r="D16" s="65"/>
      <c r="E16" s="65"/>
      <c r="F16" s="65"/>
      <c r="G16" s="65"/>
      <c r="H16" s="65"/>
      <c r="I16" s="65"/>
    </row>
    <row r="17" spans="1:9" ht="18" x14ac:dyDescent="0.25">
      <c r="A17" s="165" t="s">
        <v>253</v>
      </c>
      <c r="I17" s="65"/>
    </row>
    <row r="20" spans="1:9" x14ac:dyDescent="0.2">
      <c r="A20" t="s">
        <v>255</v>
      </c>
      <c r="B20" s="13">
        <v>10000</v>
      </c>
      <c r="C20" s="219"/>
      <c r="D20" s="218"/>
      <c r="E20" s="13"/>
    </row>
    <row r="21" spans="1:9" x14ac:dyDescent="0.2">
      <c r="B21" s="13"/>
      <c r="C21" s="13"/>
      <c r="D21" s="13"/>
      <c r="E21" s="13"/>
    </row>
    <row r="22" spans="1:9" x14ac:dyDescent="0.2">
      <c r="B22" s="258" t="s">
        <v>73</v>
      </c>
      <c r="C22" s="258"/>
      <c r="D22" s="258" t="s">
        <v>193</v>
      </c>
      <c r="E22" s="258" t="s">
        <v>164</v>
      </c>
    </row>
    <row r="23" spans="1:9" x14ac:dyDescent="0.2">
      <c r="A23" t="s">
        <v>255</v>
      </c>
      <c r="B23" s="258">
        <v>142</v>
      </c>
      <c r="C23" s="219"/>
      <c r="D23" s="13">
        <f>B20*(7/12)</f>
        <v>5833.3333333333339</v>
      </c>
      <c r="E23" s="13">
        <f>B23*D23</f>
        <v>828333.33333333337</v>
      </c>
    </row>
    <row r="24" spans="1:9" x14ac:dyDescent="0.2">
      <c r="D24" s="113">
        <f>SUM(D23:D23)</f>
        <v>5833.3333333333339</v>
      </c>
      <c r="E24" s="113">
        <f>SUM(E23:E23)</f>
        <v>828333.33333333337</v>
      </c>
      <c r="F24" s="218">
        <v>5</v>
      </c>
    </row>
    <row r="25" spans="1:9" x14ac:dyDescent="0.2">
      <c r="D25" s="24"/>
      <c r="E25" s="24"/>
    </row>
    <row r="26" spans="1:9" x14ac:dyDescent="0.2">
      <c r="A26" s="180"/>
      <c r="B26" s="258" t="s">
        <v>64</v>
      </c>
      <c r="C26" s="258"/>
    </row>
    <row r="27" spans="1:9" x14ac:dyDescent="0.2">
      <c r="A27" s="140" t="s">
        <v>347</v>
      </c>
      <c r="B27" s="13">
        <f>B9</f>
        <v>10500</v>
      </c>
      <c r="C27" s="219"/>
    </row>
    <row r="29" spans="1:9" x14ac:dyDescent="0.2">
      <c r="B29" s="258" t="str">
        <f>'Summary 201516'!D51</f>
        <v>Pupil-led</v>
      </c>
      <c r="C29" s="258"/>
      <c r="D29" s="258" t="str">
        <f>'Summary 201516'!E51</f>
        <v>Top up Value</v>
      </c>
      <c r="E29" s="258" t="str">
        <f>'Summary 201516'!F51</f>
        <v>Top up Funding</v>
      </c>
    </row>
    <row r="30" spans="1:9" x14ac:dyDescent="0.2">
      <c r="A30" s="181" t="s">
        <v>257</v>
      </c>
      <c r="B30" s="258">
        <v>142</v>
      </c>
      <c r="C30" s="258"/>
      <c r="D30" s="13">
        <f>B27*(7/12)</f>
        <v>6125</v>
      </c>
      <c r="E30" s="13">
        <f>B30*D30</f>
        <v>869750</v>
      </c>
    </row>
    <row r="31" spans="1:9" x14ac:dyDescent="0.2">
      <c r="D31" s="113">
        <f>SUM(D30:D30)</f>
        <v>6125</v>
      </c>
      <c r="E31" s="113">
        <f>SUM(E30:E30)</f>
        <v>869750</v>
      </c>
      <c r="F31" s="183">
        <v>6</v>
      </c>
    </row>
    <row r="32" spans="1:9" x14ac:dyDescent="0.2">
      <c r="F32" s="183"/>
    </row>
    <row r="33" spans="1:7" x14ac:dyDescent="0.2">
      <c r="F33" s="183"/>
    </row>
    <row r="34" spans="1:7" x14ac:dyDescent="0.2">
      <c r="B34" s="182" t="s">
        <v>258</v>
      </c>
      <c r="C34" s="182"/>
      <c r="E34" s="116">
        <f>E24+E31</f>
        <v>1698083.3333333335</v>
      </c>
      <c r="F34" s="183">
        <v>7</v>
      </c>
    </row>
    <row r="37" spans="1:7" ht="12.75" customHeight="1" x14ac:dyDescent="0.2">
      <c r="A37" s="395" t="s">
        <v>353</v>
      </c>
      <c r="B37" s="395"/>
      <c r="C37" s="395"/>
      <c r="D37" s="395"/>
      <c r="E37" s="395"/>
      <c r="F37" s="395"/>
      <c r="G37" s="395"/>
    </row>
    <row r="38" spans="1:7" x14ac:dyDescent="0.2">
      <c r="A38" s="395"/>
      <c r="B38" s="395"/>
      <c r="C38" s="395"/>
      <c r="D38" s="395"/>
      <c r="E38" s="395"/>
      <c r="F38" s="395"/>
      <c r="G38" s="395"/>
    </row>
    <row r="39" spans="1:7" x14ac:dyDescent="0.2">
      <c r="A39" s="395"/>
      <c r="B39" s="395"/>
      <c r="C39" s="395"/>
      <c r="D39" s="395"/>
      <c r="E39" s="395"/>
      <c r="F39" s="395"/>
      <c r="G39" s="395"/>
    </row>
    <row r="40" spans="1:7" x14ac:dyDescent="0.2">
      <c r="A40" s="277"/>
      <c r="B40" s="277"/>
      <c r="C40" s="277"/>
      <c r="D40" s="277"/>
      <c r="E40" s="277"/>
      <c r="F40" s="277"/>
      <c r="G40" s="277"/>
    </row>
    <row r="41" spans="1:7" ht="12.75" customHeight="1" x14ac:dyDescent="0.2">
      <c r="A41" s="395" t="s">
        <v>348</v>
      </c>
      <c r="B41" s="395"/>
      <c r="C41" s="395"/>
      <c r="D41" s="395"/>
      <c r="E41" s="395"/>
      <c r="F41" s="395"/>
      <c r="G41" s="395"/>
    </row>
    <row r="42" spans="1:7" x14ac:dyDescent="0.2">
      <c r="A42" s="395"/>
      <c r="B42" s="395"/>
      <c r="C42" s="395"/>
      <c r="D42" s="395"/>
      <c r="E42" s="395"/>
      <c r="F42" s="395"/>
      <c r="G42" s="395"/>
    </row>
    <row r="43" spans="1:7" ht="12.75" customHeight="1" x14ac:dyDescent="0.2">
      <c r="A43" s="395"/>
      <c r="B43" s="395"/>
      <c r="C43" s="395"/>
      <c r="D43" s="395"/>
      <c r="E43" s="395"/>
      <c r="F43" s="395"/>
      <c r="G43" s="395"/>
    </row>
    <row r="44" spans="1:7" x14ac:dyDescent="0.2">
      <c r="A44" s="395"/>
      <c r="B44" s="395"/>
      <c r="C44" s="395"/>
      <c r="D44" s="395"/>
      <c r="E44" s="395"/>
      <c r="F44" s="395"/>
      <c r="G44" s="395"/>
    </row>
    <row r="45" spans="1:7" x14ac:dyDescent="0.2">
      <c r="A45" s="278"/>
      <c r="B45" s="278"/>
      <c r="C45" s="278"/>
      <c r="D45" s="278"/>
      <c r="E45" s="278"/>
      <c r="F45" s="20"/>
      <c r="G45" s="20"/>
    </row>
    <row r="46" spans="1:7" ht="12.75" customHeight="1" x14ac:dyDescent="0.2">
      <c r="A46" s="395" t="s">
        <v>354</v>
      </c>
      <c r="B46" s="395"/>
      <c r="C46" s="395"/>
      <c r="D46" s="395"/>
      <c r="E46" s="395"/>
      <c r="F46" s="395"/>
      <c r="G46" s="395"/>
    </row>
    <row r="47" spans="1:7" x14ac:dyDescent="0.2">
      <c r="A47" s="395"/>
      <c r="B47" s="395"/>
      <c r="C47" s="395"/>
      <c r="D47" s="395"/>
      <c r="E47" s="395"/>
      <c r="F47" s="395"/>
      <c r="G47" s="395"/>
    </row>
    <row r="48" spans="1:7" x14ac:dyDescent="0.2">
      <c r="A48" s="395"/>
      <c r="B48" s="395"/>
      <c r="C48" s="395"/>
      <c r="D48" s="395"/>
      <c r="E48" s="395"/>
      <c r="F48" s="395"/>
      <c r="G48" s="395"/>
    </row>
    <row r="49" spans="1:7" ht="12.75" customHeight="1" x14ac:dyDescent="0.2">
      <c r="A49" s="277"/>
      <c r="B49" s="277"/>
      <c r="C49" s="277"/>
      <c r="D49" s="277"/>
      <c r="E49" s="277"/>
      <c r="F49" s="277"/>
      <c r="G49" s="277"/>
    </row>
    <row r="50" spans="1:7" x14ac:dyDescent="0.2">
      <c r="A50" s="395" t="s">
        <v>349</v>
      </c>
      <c r="B50" s="395"/>
      <c r="C50" s="395"/>
      <c r="D50" s="395"/>
      <c r="E50" s="395"/>
      <c r="F50" s="395"/>
      <c r="G50" s="395"/>
    </row>
    <row r="51" spans="1:7" x14ac:dyDescent="0.2">
      <c r="A51" s="395"/>
      <c r="B51" s="395"/>
      <c r="C51" s="395"/>
      <c r="D51" s="395"/>
      <c r="E51" s="395"/>
      <c r="F51" s="395"/>
      <c r="G51" s="395"/>
    </row>
    <row r="52" spans="1:7" x14ac:dyDescent="0.2">
      <c r="A52" s="278"/>
      <c r="B52" s="278"/>
      <c r="C52" s="278"/>
      <c r="D52" s="278"/>
      <c r="E52" s="278"/>
      <c r="F52" s="278"/>
      <c r="G52" s="278"/>
    </row>
    <row r="53" spans="1:7" x14ac:dyDescent="0.2">
      <c r="A53" s="397" t="s">
        <v>351</v>
      </c>
      <c r="B53" s="397"/>
      <c r="C53" s="397"/>
      <c r="D53" s="397"/>
      <c r="E53" s="397"/>
      <c r="F53" s="397"/>
      <c r="G53" s="397"/>
    </row>
    <row r="54" spans="1:7" x14ac:dyDescent="0.2">
      <c r="A54" s="397"/>
      <c r="B54" s="397"/>
      <c r="C54" s="397"/>
      <c r="D54" s="397"/>
      <c r="E54" s="397"/>
      <c r="F54" s="397"/>
      <c r="G54" s="397"/>
    </row>
    <row r="55" spans="1:7" x14ac:dyDescent="0.2">
      <c r="A55" s="20"/>
      <c r="B55" s="20"/>
      <c r="C55" s="20"/>
      <c r="D55" s="20"/>
      <c r="E55" s="20"/>
      <c r="F55" s="20"/>
      <c r="G55" s="20"/>
    </row>
    <row r="56" spans="1:7" ht="12.75" customHeight="1" x14ac:dyDescent="0.2">
      <c r="A56" s="395" t="s">
        <v>355</v>
      </c>
      <c r="B56" s="395"/>
      <c r="C56" s="395"/>
      <c r="D56" s="395"/>
      <c r="E56" s="395"/>
      <c r="F56" s="395"/>
      <c r="G56" s="395"/>
    </row>
    <row r="57" spans="1:7" x14ac:dyDescent="0.2">
      <c r="A57" s="395"/>
      <c r="B57" s="395"/>
      <c r="C57" s="395"/>
      <c r="D57" s="395"/>
      <c r="E57" s="395"/>
      <c r="F57" s="395"/>
      <c r="G57" s="395"/>
    </row>
    <row r="58" spans="1:7" x14ac:dyDescent="0.2">
      <c r="A58" s="395"/>
      <c r="B58" s="395"/>
      <c r="C58" s="395"/>
      <c r="D58" s="395"/>
      <c r="E58" s="395"/>
      <c r="F58" s="395"/>
      <c r="G58" s="395"/>
    </row>
    <row r="59" spans="1:7" x14ac:dyDescent="0.2">
      <c r="A59" s="395"/>
      <c r="B59" s="395"/>
      <c r="C59" s="395"/>
      <c r="D59" s="395"/>
      <c r="E59" s="395"/>
      <c r="F59" s="395"/>
      <c r="G59" s="395"/>
    </row>
    <row r="60" spans="1:7" x14ac:dyDescent="0.2">
      <c r="A60" s="395"/>
      <c r="B60" s="395"/>
      <c r="C60" s="395"/>
      <c r="D60" s="395"/>
      <c r="E60" s="395"/>
      <c r="F60" s="395"/>
      <c r="G60" s="395"/>
    </row>
    <row r="61" spans="1:7" x14ac:dyDescent="0.2">
      <c r="A61" s="277"/>
      <c r="B61" s="277"/>
      <c r="C61" s="277"/>
      <c r="D61" s="277"/>
      <c r="E61" s="277"/>
      <c r="F61" s="277"/>
      <c r="G61" s="277"/>
    </row>
    <row r="62" spans="1:7" ht="12.75" customHeight="1" x14ac:dyDescent="0.2">
      <c r="A62" s="394" t="s">
        <v>352</v>
      </c>
      <c r="B62" s="394"/>
      <c r="C62" s="394"/>
      <c r="D62" s="394"/>
      <c r="E62" s="394"/>
      <c r="F62" s="394"/>
      <c r="G62" s="394"/>
    </row>
    <row r="63" spans="1:7" x14ac:dyDescent="0.2">
      <c r="A63" s="394"/>
      <c r="B63" s="394"/>
      <c r="C63" s="394"/>
      <c r="D63" s="394"/>
      <c r="E63" s="394"/>
      <c r="F63" s="394"/>
      <c r="G63" s="394"/>
    </row>
    <row r="64" spans="1:7" x14ac:dyDescent="0.2">
      <c r="A64" s="276"/>
      <c r="B64" s="276"/>
      <c r="C64" s="276"/>
      <c r="D64" s="276"/>
      <c r="E64" s="276"/>
      <c r="F64" s="276"/>
      <c r="G64" s="276"/>
    </row>
    <row r="65" spans="1:7" x14ac:dyDescent="0.2">
      <c r="A65" s="276"/>
      <c r="B65" s="276"/>
      <c r="C65" s="276"/>
      <c r="D65" s="276"/>
      <c r="E65" s="276"/>
      <c r="F65" s="276"/>
      <c r="G65" s="276"/>
    </row>
  </sheetData>
  <mergeCells count="8">
    <mergeCell ref="A62:G63"/>
    <mergeCell ref="A37:G39"/>
    <mergeCell ref="A12:G14"/>
    <mergeCell ref="A53:G54"/>
    <mergeCell ref="A41:G44"/>
    <mergeCell ref="A46:G48"/>
    <mergeCell ref="A50:G51"/>
    <mergeCell ref="A56:G60"/>
  </mergeCells>
  <pageMargins left="0.70866141732283472" right="0.70866141732283472" top="0.74803149606299213" bottom="0.74803149606299213" header="0.31496062992125984" footer="0.31496062992125984"/>
  <pageSetup paperSize="9" scale="60" orientation="landscape" r:id="rId1"/>
  <headerFooter>
    <oddHeader>&amp;CLincolnshire County Council</oddHeader>
    <oddFooter>&amp;C2016/17 LTLC &amp; Sol 4 Budget Shares
Sol 4 Budget 2016/17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65"/>
  <sheetViews>
    <sheetView workbookViewId="0">
      <selection activeCell="N41" sqref="N41"/>
    </sheetView>
  </sheetViews>
  <sheetFormatPr defaultRowHeight="12.75" x14ac:dyDescent="0.2"/>
  <cols>
    <col min="1" max="1" width="41.42578125" customWidth="1"/>
    <col min="2" max="2" width="14" customWidth="1"/>
    <col min="4" max="4" width="10" customWidth="1"/>
    <col min="5" max="5" width="9.85546875" customWidth="1"/>
    <col min="6" max="6" width="12.7109375" bestFit="1" customWidth="1"/>
    <col min="8" max="8" width="12.42578125" customWidth="1"/>
    <col min="10" max="10" width="12.7109375" bestFit="1" customWidth="1"/>
    <col min="14" max="14" width="10.140625" bestFit="1" customWidth="1"/>
  </cols>
  <sheetData>
    <row r="1" spans="1:8" x14ac:dyDescent="0.2">
      <c r="A1" s="25" t="s">
        <v>59</v>
      </c>
      <c r="B1" s="26"/>
      <c r="C1" s="26"/>
      <c r="D1" s="26"/>
      <c r="E1" s="27"/>
      <c r="F1" s="27"/>
      <c r="G1" s="27"/>
      <c r="H1" s="27"/>
    </row>
    <row r="2" spans="1:8" x14ac:dyDescent="0.2">
      <c r="A2" s="25"/>
      <c r="B2" s="26"/>
      <c r="C2" s="26"/>
      <c r="D2" s="26"/>
      <c r="E2" s="27"/>
      <c r="F2" s="27"/>
      <c r="G2" s="27"/>
      <c r="H2" s="27"/>
    </row>
    <row r="3" spans="1:8" x14ac:dyDescent="0.2">
      <c r="A3" s="112" t="s">
        <v>105</v>
      </c>
      <c r="B3" s="112" t="s">
        <v>106</v>
      </c>
      <c r="C3" s="112" t="s">
        <v>107</v>
      </c>
      <c r="D3" s="112" t="s">
        <v>108</v>
      </c>
      <c r="E3" s="95" t="s">
        <v>109</v>
      </c>
      <c r="F3" s="95" t="s">
        <v>110</v>
      </c>
      <c r="G3" s="95" t="s">
        <v>111</v>
      </c>
      <c r="H3" s="95" t="s">
        <v>112</v>
      </c>
    </row>
    <row r="4" spans="1:8" x14ac:dyDescent="0.2">
      <c r="A4" s="81" t="s">
        <v>113</v>
      </c>
      <c r="B4" s="81" t="s">
        <v>114</v>
      </c>
      <c r="C4" s="81">
        <v>32.5</v>
      </c>
      <c r="D4" s="81">
        <v>0.2</v>
      </c>
      <c r="E4" s="82">
        <f>(71701*0.2)</f>
        <v>14340.2</v>
      </c>
      <c r="F4" s="82">
        <f>(7664*0.2)</f>
        <v>1532.8000000000002</v>
      </c>
      <c r="G4" s="82">
        <f>(10110*0.2)</f>
        <v>2022</v>
      </c>
      <c r="H4" s="83">
        <f>SUM(E4:G4)</f>
        <v>17895</v>
      </c>
    </row>
    <row r="5" spans="1:8" x14ac:dyDescent="0.2">
      <c r="A5" s="84" t="s">
        <v>115</v>
      </c>
      <c r="B5" s="85" t="s">
        <v>116</v>
      </c>
      <c r="C5" s="84">
        <v>32.5</v>
      </c>
      <c r="D5" s="84">
        <v>1</v>
      </c>
      <c r="E5" s="86">
        <v>41756</v>
      </c>
      <c r="F5" s="86">
        <v>3532</v>
      </c>
      <c r="G5" s="86">
        <v>5888</v>
      </c>
      <c r="H5" s="87">
        <f t="shared" ref="H5:H15" si="0">SUM(E5:G5)</f>
        <v>51176</v>
      </c>
    </row>
    <row r="6" spans="1:8" x14ac:dyDescent="0.2">
      <c r="A6" s="88" t="s">
        <v>117</v>
      </c>
      <c r="B6" s="89" t="s">
        <v>118</v>
      </c>
      <c r="C6" s="90"/>
      <c r="D6" s="90"/>
      <c r="E6" s="91"/>
      <c r="F6" s="91"/>
      <c r="G6" s="86"/>
      <c r="H6" s="80">
        <f>(1110*1.2)</f>
        <v>1332</v>
      </c>
    </row>
    <row r="7" spans="1:8" x14ac:dyDescent="0.2">
      <c r="A7" s="92" t="s">
        <v>119</v>
      </c>
      <c r="B7" s="93"/>
      <c r="C7" s="93"/>
      <c r="D7" s="93"/>
      <c r="E7" s="94">
        <f>SUM(E5:E6)</f>
        <v>41756</v>
      </c>
      <c r="F7" s="94">
        <f>SUM(F5:F6)</f>
        <v>3532</v>
      </c>
      <c r="G7" s="94">
        <f>SUM(G5:G6)</f>
        <v>5888</v>
      </c>
      <c r="H7" s="95">
        <f>SUM(H4:H6)</f>
        <v>70403</v>
      </c>
    </row>
    <row r="8" spans="1:8" x14ac:dyDescent="0.2">
      <c r="A8" s="85" t="s">
        <v>120</v>
      </c>
      <c r="B8" s="96"/>
      <c r="C8" s="96"/>
      <c r="D8" s="96"/>
      <c r="E8" s="97"/>
      <c r="F8" s="97"/>
      <c r="G8" s="97"/>
      <c r="H8" s="87">
        <v>35000</v>
      </c>
    </row>
    <row r="9" spans="1:8" x14ac:dyDescent="0.2">
      <c r="A9" s="84" t="s">
        <v>121</v>
      </c>
      <c r="B9" s="85" t="s">
        <v>122</v>
      </c>
      <c r="C9" s="84">
        <v>37</v>
      </c>
      <c r="D9" s="84">
        <v>0.84699999999999998</v>
      </c>
      <c r="E9" s="86">
        <v>26278</v>
      </c>
      <c r="F9" s="86">
        <v>1864</v>
      </c>
      <c r="G9" s="86">
        <v>4967</v>
      </c>
      <c r="H9" s="87">
        <f t="shared" si="0"/>
        <v>33109</v>
      </c>
    </row>
    <row r="10" spans="1:8" x14ac:dyDescent="0.2">
      <c r="A10" s="84" t="s">
        <v>123</v>
      </c>
      <c r="B10" s="85" t="s">
        <v>124</v>
      </c>
      <c r="C10" s="84">
        <v>37</v>
      </c>
      <c r="D10" s="84">
        <v>0.84699999999999998</v>
      </c>
      <c r="E10" s="86">
        <v>19041</v>
      </c>
      <c r="F10" s="86">
        <v>1111</v>
      </c>
      <c r="G10" s="86">
        <v>3599</v>
      </c>
      <c r="H10" s="87">
        <f t="shared" si="0"/>
        <v>23751</v>
      </c>
    </row>
    <row r="11" spans="1:8" x14ac:dyDescent="0.2">
      <c r="A11" s="84" t="s">
        <v>125</v>
      </c>
      <c r="B11" s="85" t="s">
        <v>126</v>
      </c>
      <c r="C11" s="84">
        <v>37</v>
      </c>
      <c r="D11" s="84">
        <v>0.84699999999999998</v>
      </c>
      <c r="E11" s="86">
        <v>23601</v>
      </c>
      <c r="F11" s="86">
        <v>1585</v>
      </c>
      <c r="G11" s="86">
        <v>4461</v>
      </c>
      <c r="H11" s="87">
        <f t="shared" si="0"/>
        <v>29647</v>
      </c>
    </row>
    <row r="12" spans="1:8" x14ac:dyDescent="0.2">
      <c r="A12" s="84" t="s">
        <v>127</v>
      </c>
      <c r="B12" s="85" t="s">
        <v>128</v>
      </c>
      <c r="C12" s="84">
        <v>37</v>
      </c>
      <c r="D12" s="84">
        <v>0.84699999999999998</v>
      </c>
      <c r="E12" s="86">
        <v>17159</v>
      </c>
      <c r="F12" s="86">
        <v>915</v>
      </c>
      <c r="G12" s="86">
        <v>3243</v>
      </c>
      <c r="H12" s="87">
        <f t="shared" si="0"/>
        <v>21317</v>
      </c>
    </row>
    <row r="13" spans="1:8" x14ac:dyDescent="0.2">
      <c r="A13" s="84" t="s">
        <v>129</v>
      </c>
      <c r="B13" s="85" t="s">
        <v>130</v>
      </c>
      <c r="C13" s="84">
        <v>32.5</v>
      </c>
      <c r="D13" s="98">
        <v>0.84699999999999998</v>
      </c>
      <c r="E13" s="99">
        <v>16225</v>
      </c>
      <c r="F13" s="99">
        <v>818</v>
      </c>
      <c r="G13" s="99">
        <v>3067</v>
      </c>
      <c r="H13" s="87">
        <f t="shared" si="0"/>
        <v>20110</v>
      </c>
    </row>
    <row r="14" spans="1:8" x14ac:dyDescent="0.2">
      <c r="A14" s="84" t="s">
        <v>129</v>
      </c>
      <c r="B14" s="85" t="s">
        <v>130</v>
      </c>
      <c r="C14" s="84">
        <v>32.5</v>
      </c>
      <c r="D14" s="98">
        <v>0.84699999999999998</v>
      </c>
      <c r="E14" s="99">
        <v>16225</v>
      </c>
      <c r="F14" s="99">
        <v>818</v>
      </c>
      <c r="G14" s="99">
        <v>3067</v>
      </c>
      <c r="H14" s="87">
        <f t="shared" si="0"/>
        <v>20110</v>
      </c>
    </row>
    <row r="15" spans="1:8" x14ac:dyDescent="0.2">
      <c r="A15" s="84" t="s">
        <v>131</v>
      </c>
      <c r="B15" s="85" t="s">
        <v>132</v>
      </c>
      <c r="C15" s="84">
        <v>37</v>
      </c>
      <c r="D15" s="84">
        <v>0.84699999999999998</v>
      </c>
      <c r="E15" s="86">
        <v>21073</v>
      </c>
      <c r="F15" s="86">
        <v>1322</v>
      </c>
      <c r="G15" s="86">
        <v>3983</v>
      </c>
      <c r="H15" s="87">
        <f t="shared" si="0"/>
        <v>26378</v>
      </c>
    </row>
    <row r="16" spans="1:8" x14ac:dyDescent="0.2">
      <c r="A16" s="100" t="s">
        <v>133</v>
      </c>
      <c r="B16" s="101" t="s">
        <v>134</v>
      </c>
      <c r="C16" s="102"/>
      <c r="D16" s="102"/>
      <c r="E16" s="103"/>
      <c r="F16" s="103"/>
      <c r="G16" s="103"/>
      <c r="H16" s="104">
        <v>830</v>
      </c>
    </row>
    <row r="17" spans="1:14" x14ac:dyDescent="0.2">
      <c r="A17" s="105" t="s">
        <v>135</v>
      </c>
      <c r="B17" s="106" t="s">
        <v>136</v>
      </c>
      <c r="C17" s="107"/>
      <c r="D17" s="107"/>
      <c r="E17" s="108"/>
      <c r="F17" s="108"/>
      <c r="G17" s="108"/>
      <c r="H17" s="109">
        <v>2075</v>
      </c>
    </row>
    <row r="18" spans="1:14" x14ac:dyDescent="0.2">
      <c r="A18" s="78" t="s">
        <v>137</v>
      </c>
      <c r="B18" s="110"/>
      <c r="C18" s="110"/>
      <c r="D18" s="110"/>
      <c r="E18" s="79">
        <f>SUM(E9:E17)</f>
        <v>139602</v>
      </c>
      <c r="F18" s="79">
        <f>SUM(F9:F17)</f>
        <v>8433</v>
      </c>
      <c r="G18" s="79">
        <f>SUM(G9:G17)</f>
        <v>26387</v>
      </c>
      <c r="H18" s="95">
        <f>SUM(H8:H17)</f>
        <v>212327</v>
      </c>
    </row>
    <row r="19" spans="1:14" x14ac:dyDescent="0.2">
      <c r="A19" s="26"/>
      <c r="B19" s="26"/>
      <c r="C19" s="26"/>
      <c r="D19" s="26"/>
      <c r="E19" s="26"/>
      <c r="F19" s="26"/>
      <c r="G19" s="26"/>
      <c r="H19" s="26"/>
    </row>
    <row r="20" spans="1:14" x14ac:dyDescent="0.2">
      <c r="A20" s="26"/>
      <c r="B20" s="26"/>
      <c r="C20" s="26"/>
      <c r="D20" s="26"/>
      <c r="E20" s="26"/>
      <c r="F20" s="26"/>
      <c r="G20" s="26"/>
      <c r="H20" s="111">
        <f>H7+H18</f>
        <v>282730</v>
      </c>
    </row>
    <row r="21" spans="1:14" x14ac:dyDescent="0.2">
      <c r="A21" s="25"/>
      <c r="B21" s="26"/>
      <c r="C21" s="26"/>
      <c r="D21" s="26"/>
      <c r="E21" s="27"/>
      <c r="F21" s="27"/>
      <c r="G21" s="27"/>
      <c r="H21" s="37"/>
    </row>
    <row r="22" spans="1:14" x14ac:dyDescent="0.2">
      <c r="A22" s="25" t="s">
        <v>138</v>
      </c>
      <c r="B22" s="26"/>
      <c r="C22" s="26"/>
      <c r="D22" s="26"/>
      <c r="E22" s="27"/>
      <c r="F22" s="27"/>
      <c r="G22" s="27"/>
      <c r="H22" s="111">
        <v>24800</v>
      </c>
    </row>
    <row r="23" spans="1:14" ht="13.5" thickBot="1" x14ac:dyDescent="0.25">
      <c r="A23" s="25"/>
      <c r="B23" s="26"/>
      <c r="C23" s="26"/>
      <c r="D23" s="26"/>
      <c r="E23" s="27"/>
      <c r="F23" s="27"/>
      <c r="G23" s="27"/>
      <c r="H23" s="27"/>
    </row>
    <row r="24" spans="1:14" ht="13.5" thickBot="1" x14ac:dyDescent="0.25">
      <c r="A24" s="26"/>
      <c r="B24" s="30"/>
      <c r="C24" s="27"/>
      <c r="D24" s="27"/>
      <c r="E24" s="27"/>
      <c r="F24" s="26"/>
      <c r="G24" s="26"/>
      <c r="H24" s="31">
        <f>H20+H22</f>
        <v>307530</v>
      </c>
      <c r="J24" s="13">
        <f>(H24/12)*5</f>
        <v>128137.5</v>
      </c>
      <c r="K24" t="s">
        <v>315</v>
      </c>
    </row>
    <row r="27" spans="1:14" x14ac:dyDescent="0.2">
      <c r="D27" s="378" t="s">
        <v>298</v>
      </c>
      <c r="E27" s="378" t="s">
        <v>299</v>
      </c>
      <c r="F27" s="378" t="s">
        <v>300</v>
      </c>
      <c r="G27" s="380" t="s">
        <v>73</v>
      </c>
      <c r="H27" s="378" t="s">
        <v>300</v>
      </c>
    </row>
    <row r="28" spans="1:14" x14ac:dyDescent="0.2">
      <c r="B28" s="238" t="s">
        <v>296</v>
      </c>
      <c r="C28" s="238" t="s">
        <v>297</v>
      </c>
      <c r="D28" s="378"/>
      <c r="E28" s="378"/>
      <c r="F28" s="378"/>
      <c r="G28" s="380"/>
      <c r="H28" s="378"/>
      <c r="I28" s="238"/>
      <c r="J28" s="13">
        <f>H24</f>
        <v>307530</v>
      </c>
      <c r="K28" t="s">
        <v>311</v>
      </c>
    </row>
    <row r="29" spans="1:14" x14ac:dyDescent="0.2">
      <c r="A29" t="s">
        <v>294</v>
      </c>
      <c r="B29" s="217">
        <v>51.4</v>
      </c>
      <c r="C29" s="238">
        <v>195</v>
      </c>
      <c r="D29" s="13">
        <f>B29*C29</f>
        <v>10023</v>
      </c>
      <c r="E29" s="238">
        <v>69</v>
      </c>
      <c r="F29" s="217">
        <f>E29/C29*D29</f>
        <v>3546.6000000000004</v>
      </c>
      <c r="G29" s="238">
        <v>112</v>
      </c>
      <c r="H29" s="13">
        <f>F29*G29</f>
        <v>397219.20000000007</v>
      </c>
      <c r="I29" s="238"/>
      <c r="J29" s="13">
        <f>D29*G29</f>
        <v>1122576</v>
      </c>
    </row>
    <row r="30" spans="1:14" x14ac:dyDescent="0.2">
      <c r="A30" t="s">
        <v>295</v>
      </c>
      <c r="B30" s="217">
        <v>57.52</v>
      </c>
      <c r="C30" s="238">
        <v>195</v>
      </c>
      <c r="D30" s="13">
        <f>B30*C30</f>
        <v>11216.400000000001</v>
      </c>
      <c r="E30" s="238">
        <v>69</v>
      </c>
      <c r="F30" s="217">
        <f>E30/C30*D30</f>
        <v>3968.8800000000006</v>
      </c>
      <c r="G30" s="238">
        <v>30</v>
      </c>
      <c r="H30" s="13">
        <f>F30*G30</f>
        <v>119066.40000000002</v>
      </c>
      <c r="I30" s="238"/>
      <c r="J30" s="13">
        <f>D30*G30</f>
        <v>336492.00000000006</v>
      </c>
    </row>
    <row r="31" spans="1:14" x14ac:dyDescent="0.2">
      <c r="B31" s="238"/>
      <c r="C31" s="238"/>
      <c r="D31" s="238"/>
      <c r="E31" s="238"/>
      <c r="F31" s="238"/>
      <c r="G31" s="246">
        <f>SUM(G29:G30)</f>
        <v>142</v>
      </c>
      <c r="H31" s="13">
        <f>SUM(H29:H30)</f>
        <v>516285.60000000009</v>
      </c>
      <c r="I31" s="238"/>
      <c r="J31" s="113">
        <f>SUM(J28:J30)</f>
        <v>1766598</v>
      </c>
      <c r="K31" t="s">
        <v>302</v>
      </c>
      <c r="N31" s="253">
        <f>J31/G31</f>
        <v>12440.830985915492</v>
      </c>
    </row>
    <row r="33" spans="1:11" x14ac:dyDescent="0.2">
      <c r="J33" s="217">
        <f>B29*42*195</f>
        <v>420965.99999999994</v>
      </c>
      <c r="K33" t="s">
        <v>301</v>
      </c>
    </row>
    <row r="34" spans="1:11" ht="13.5" thickBot="1" x14ac:dyDescent="0.25">
      <c r="B34" s="238" t="s">
        <v>73</v>
      </c>
      <c r="D34" s="238" t="s">
        <v>78</v>
      </c>
      <c r="J34" s="14">
        <f>SUM(J31:J33)</f>
        <v>2187564</v>
      </c>
    </row>
    <row r="35" spans="1:11" x14ac:dyDescent="0.2">
      <c r="A35" t="s">
        <v>308</v>
      </c>
      <c r="B35" s="238">
        <f>G31</f>
        <v>142</v>
      </c>
      <c r="C35" s="238"/>
      <c r="D35" s="247">
        <v>10000</v>
      </c>
      <c r="E35" s="238"/>
      <c r="F35" s="247">
        <f>B35*D35</f>
        <v>1420000</v>
      </c>
      <c r="G35" s="238"/>
      <c r="H35" s="238"/>
    </row>
    <row r="36" spans="1:11" x14ac:dyDescent="0.2">
      <c r="B36" s="238"/>
      <c r="C36" s="238"/>
      <c r="D36" s="238"/>
      <c r="E36" s="238"/>
      <c r="F36" s="238"/>
      <c r="G36" s="238"/>
      <c r="H36" s="238"/>
      <c r="J36" s="13">
        <f>'Sol4 Budget 201516'!B11</f>
        <v>2268004</v>
      </c>
      <c r="K36" t="s">
        <v>303</v>
      </c>
    </row>
    <row r="37" spans="1:11" x14ac:dyDescent="0.2">
      <c r="B37" s="238"/>
      <c r="C37" s="183" t="s">
        <v>309</v>
      </c>
      <c r="D37" s="238"/>
      <c r="E37" s="238"/>
      <c r="F37" s="247">
        <f>(F35/12)*5</f>
        <v>591666.66666666663</v>
      </c>
      <c r="G37" s="238"/>
      <c r="H37" s="238"/>
      <c r="J37" s="13"/>
    </row>
    <row r="38" spans="1:11" x14ac:dyDescent="0.2">
      <c r="B38" s="238"/>
      <c r="C38" s="183" t="s">
        <v>310</v>
      </c>
      <c r="D38" s="238"/>
      <c r="E38" s="238"/>
      <c r="F38" s="252">
        <f>F35/12*7</f>
        <v>828333.33333333326</v>
      </c>
      <c r="G38" s="238"/>
      <c r="H38" s="238"/>
      <c r="J38" s="13">
        <f>J36-J34</f>
        <v>80440</v>
      </c>
      <c r="K38" t="s">
        <v>312</v>
      </c>
    </row>
    <row r="39" spans="1:11" x14ac:dyDescent="0.2">
      <c r="B39" s="238"/>
      <c r="C39" s="238"/>
      <c r="D39" s="238"/>
      <c r="E39" s="238"/>
      <c r="F39" s="248">
        <f>SUM(F37:F38)</f>
        <v>1420000</v>
      </c>
      <c r="G39" s="238"/>
      <c r="H39" s="238"/>
    </row>
    <row r="40" spans="1:11" x14ac:dyDescent="0.2">
      <c r="B40" s="238"/>
      <c r="C40" s="238"/>
      <c r="D40" s="238"/>
      <c r="E40" s="238"/>
      <c r="F40" s="238"/>
      <c r="G40" s="238"/>
      <c r="H40" s="238"/>
    </row>
    <row r="41" spans="1:11" x14ac:dyDescent="0.2">
      <c r="B41" s="238"/>
      <c r="C41" s="238"/>
      <c r="D41" s="238"/>
      <c r="E41" s="238"/>
      <c r="F41" s="238"/>
      <c r="G41" s="238"/>
      <c r="H41" s="238"/>
    </row>
    <row r="42" spans="1:11" x14ac:dyDescent="0.2">
      <c r="A42" t="s">
        <v>317</v>
      </c>
      <c r="B42" s="13">
        <f>(H31+J24)-F37</f>
        <v>52756.433333333465</v>
      </c>
      <c r="C42" s="238"/>
      <c r="D42" t="s">
        <v>313</v>
      </c>
      <c r="E42" s="238"/>
      <c r="F42" s="238"/>
      <c r="G42" s="238">
        <v>100</v>
      </c>
      <c r="H42" s="217">
        <f>B42/G42</f>
        <v>527.56433333333462</v>
      </c>
      <c r="I42" t="s">
        <v>316</v>
      </c>
    </row>
    <row r="43" spans="1:11" x14ac:dyDescent="0.2">
      <c r="B43" s="238"/>
      <c r="C43" s="238"/>
      <c r="D43" s="238"/>
      <c r="E43" s="238"/>
      <c r="F43" s="238"/>
      <c r="G43" s="238"/>
      <c r="H43" s="238"/>
    </row>
    <row r="44" spans="1:11" ht="13.5" thickBot="1" x14ac:dyDescent="0.25">
      <c r="B44" s="251">
        <f>F37+B42</f>
        <v>644423.10000000009</v>
      </c>
      <c r="C44" s="250" t="s">
        <v>320</v>
      </c>
      <c r="D44" s="240"/>
      <c r="E44" s="240"/>
      <c r="F44" s="240"/>
      <c r="G44" s="240"/>
      <c r="H44" s="240"/>
    </row>
    <row r="45" spans="1:11" x14ac:dyDescent="0.2">
      <c r="B45" s="249"/>
      <c r="C45" s="249"/>
      <c r="D45" s="249"/>
      <c r="E45" s="249"/>
      <c r="F45" s="249"/>
      <c r="G45" s="249"/>
      <c r="H45" s="249"/>
      <c r="I45" s="249"/>
      <c r="J45" s="249"/>
      <c r="K45" s="249"/>
    </row>
    <row r="48" spans="1:11" x14ac:dyDescent="0.2">
      <c r="B48" t="s">
        <v>318</v>
      </c>
      <c r="F48" s="13">
        <f>J31</f>
        <v>1766598</v>
      </c>
    </row>
    <row r="50" spans="2:8" x14ac:dyDescent="0.2">
      <c r="B50" t="s">
        <v>319</v>
      </c>
      <c r="F50" s="247">
        <f>B44</f>
        <v>644423.10000000009</v>
      </c>
    </row>
    <row r="52" spans="2:8" x14ac:dyDescent="0.2">
      <c r="B52" t="s">
        <v>321</v>
      </c>
      <c r="F52" s="113">
        <f>F48-F50</f>
        <v>1122174.8999999999</v>
      </c>
    </row>
    <row r="54" spans="2:8" x14ac:dyDescent="0.2">
      <c r="B54" t="s">
        <v>322</v>
      </c>
      <c r="F54" s="247">
        <f>F38</f>
        <v>828333.33333333326</v>
      </c>
    </row>
    <row r="55" spans="2:8" x14ac:dyDescent="0.2">
      <c r="F55" s="240"/>
    </row>
    <row r="56" spans="2:8" x14ac:dyDescent="0.2">
      <c r="B56" t="s">
        <v>323</v>
      </c>
      <c r="F56" s="13">
        <f>F52-F54</f>
        <v>293841.56666666665</v>
      </c>
    </row>
    <row r="57" spans="2:8" x14ac:dyDescent="0.2">
      <c r="F57" s="240"/>
    </row>
    <row r="58" spans="2:8" x14ac:dyDescent="0.2">
      <c r="B58" t="s">
        <v>313</v>
      </c>
      <c r="F58" s="217">
        <f>F56/100</f>
        <v>2938.4156666666663</v>
      </c>
    </row>
    <row r="59" spans="2:8" x14ac:dyDescent="0.2">
      <c r="F59" s="240"/>
    </row>
    <row r="60" spans="2:8" x14ac:dyDescent="0.2">
      <c r="B60" t="s">
        <v>324</v>
      </c>
      <c r="F60" s="217">
        <f>H42+F58</f>
        <v>3465.9800000000009</v>
      </c>
      <c r="G60" s="253"/>
      <c r="H60" s="253"/>
    </row>
    <row r="61" spans="2:8" x14ac:dyDescent="0.2">
      <c r="F61" s="240"/>
    </row>
    <row r="62" spans="2:8" x14ac:dyDescent="0.2">
      <c r="F62" s="240"/>
    </row>
    <row r="63" spans="2:8" x14ac:dyDescent="0.2">
      <c r="F63" s="240"/>
    </row>
    <row r="64" spans="2:8" x14ac:dyDescent="0.2">
      <c r="F64" s="240"/>
    </row>
    <row r="65" spans="6:6" x14ac:dyDescent="0.2">
      <c r="F65" s="240"/>
    </row>
  </sheetData>
  <mergeCells count="5">
    <mergeCell ref="D27:D28"/>
    <mergeCell ref="E27:E28"/>
    <mergeCell ref="F27:F28"/>
    <mergeCell ref="G27:G28"/>
    <mergeCell ref="H27:H2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120"/>
  <sheetViews>
    <sheetView workbookViewId="0">
      <selection activeCell="F34" sqref="F34"/>
    </sheetView>
  </sheetViews>
  <sheetFormatPr defaultRowHeight="12.75" x14ac:dyDescent="0.2"/>
  <cols>
    <col min="1" max="1" width="46.85546875" customWidth="1"/>
    <col min="2" max="2" width="25.7109375" customWidth="1"/>
    <col min="3" max="3" width="3" style="206" customWidth="1"/>
    <col min="4" max="5" width="25.7109375" customWidth="1"/>
    <col min="6" max="6" width="34.140625" customWidth="1"/>
    <col min="8" max="8" width="40.7109375" customWidth="1"/>
  </cols>
  <sheetData>
    <row r="1" spans="1:9" ht="18" x14ac:dyDescent="0.25">
      <c r="A1" s="165" t="s">
        <v>386</v>
      </c>
    </row>
    <row r="3" spans="1:9" ht="24.75" customHeight="1" x14ac:dyDescent="0.2">
      <c r="A3" s="157" t="s">
        <v>171</v>
      </c>
      <c r="B3" s="158" t="s">
        <v>385</v>
      </c>
      <c r="C3" s="207"/>
      <c r="E3">
        <v>6</v>
      </c>
      <c r="F3" s="153" t="s">
        <v>174</v>
      </c>
      <c r="G3" s="154">
        <f>SUM(G4:G12)</f>
        <v>611948</v>
      </c>
      <c r="H3" s="155" t="s">
        <v>175</v>
      </c>
      <c r="I3" s="156">
        <f>SUM(I4:I16)</f>
        <v>236900.36065573769</v>
      </c>
    </row>
    <row r="4" spans="1:9" x14ac:dyDescent="0.2">
      <c r="A4" s="146" t="s">
        <v>34</v>
      </c>
      <c r="B4" s="130">
        <f>'Summary 201718'!B25</f>
        <v>611948</v>
      </c>
      <c r="C4" s="202"/>
      <c r="F4" s="68" t="s">
        <v>3</v>
      </c>
      <c r="G4" s="69">
        <f>'Summary 201718'!B7</f>
        <v>365289</v>
      </c>
      <c r="H4" s="70" t="s">
        <v>4</v>
      </c>
      <c r="I4" s="71">
        <f>'Summary 201718'!D7</f>
        <v>21472</v>
      </c>
    </row>
    <row r="5" spans="1:9" x14ac:dyDescent="0.2">
      <c r="A5" s="146" t="s">
        <v>35</v>
      </c>
      <c r="B5" s="130">
        <f>'Summary 201718'!B26</f>
        <v>236900.36065573769</v>
      </c>
      <c r="C5" s="202">
        <v>1</v>
      </c>
      <c r="F5" s="68" t="s">
        <v>5</v>
      </c>
      <c r="G5" s="69">
        <f>'Summary 201718'!B8</f>
        <v>25496</v>
      </c>
      <c r="H5" s="72" t="s">
        <v>6</v>
      </c>
      <c r="I5" s="71">
        <f>'Summary 201718'!D8</f>
        <v>62440</v>
      </c>
    </row>
    <row r="6" spans="1:9" x14ac:dyDescent="0.2">
      <c r="A6" s="146" t="s">
        <v>169</v>
      </c>
      <c r="B6" s="130">
        <f>'Summary 201718'!B27</f>
        <v>1367464.8413461538</v>
      </c>
      <c r="C6" s="202"/>
      <c r="F6" s="68" t="s">
        <v>8</v>
      </c>
      <c r="G6" s="69">
        <f>'Summary 201718'!B9</f>
        <v>34683</v>
      </c>
      <c r="H6" s="72" t="s">
        <v>9</v>
      </c>
      <c r="I6" s="71">
        <f>'Summary 201718'!D9</f>
        <v>35212.360655737706</v>
      </c>
    </row>
    <row r="7" spans="1:9" x14ac:dyDescent="0.2">
      <c r="A7" s="147" t="s">
        <v>33</v>
      </c>
      <c r="B7" s="285">
        <f>'Summary 201718'!B28</f>
        <v>42157.96</v>
      </c>
      <c r="C7" s="202"/>
      <c r="F7" s="68" t="s">
        <v>11</v>
      </c>
      <c r="G7" s="69">
        <f>'Summary 201718'!B10</f>
        <v>50828</v>
      </c>
      <c r="H7" s="72" t="s">
        <v>12</v>
      </c>
      <c r="I7" s="71">
        <f>'Summary 201718'!D10</f>
        <v>4000</v>
      </c>
    </row>
    <row r="8" spans="1:9" x14ac:dyDescent="0.2">
      <c r="A8" s="152" t="s">
        <v>275</v>
      </c>
      <c r="B8" s="159">
        <f>SUM(B4:B7)</f>
        <v>2258471.1620018915</v>
      </c>
      <c r="C8" s="208">
        <v>2</v>
      </c>
      <c r="F8" s="68" t="s">
        <v>14</v>
      </c>
      <c r="G8" s="69">
        <f>'Summary 201718'!B11</f>
        <v>38676</v>
      </c>
      <c r="H8" s="72" t="s">
        <v>15</v>
      </c>
      <c r="I8" s="71">
        <f>'Summary 201718'!D11</f>
        <v>4000</v>
      </c>
    </row>
    <row r="9" spans="1:9" x14ac:dyDescent="0.2">
      <c r="F9" s="68" t="s">
        <v>17</v>
      </c>
      <c r="G9" s="69">
        <f>'Summary 201718'!B12</f>
        <v>1271</v>
      </c>
      <c r="H9" s="72" t="s">
        <v>18</v>
      </c>
      <c r="I9" s="71">
        <f>'Summary 201718'!D12</f>
        <v>15456</v>
      </c>
    </row>
    <row r="10" spans="1:9" ht="13.5" thickBot="1" x14ac:dyDescent="0.25">
      <c r="F10" s="68" t="s">
        <v>20</v>
      </c>
      <c r="G10" s="69">
        <f>'Summary 201718'!B13</f>
        <v>61872</v>
      </c>
      <c r="H10" s="72" t="s">
        <v>21</v>
      </c>
      <c r="I10" s="71">
        <f>'Summary 201718'!D13</f>
        <v>13000</v>
      </c>
    </row>
    <row r="11" spans="1:9" x14ac:dyDescent="0.2">
      <c r="A11" s="148" t="s">
        <v>356</v>
      </c>
      <c r="B11" s="149" t="s">
        <v>73</v>
      </c>
      <c r="C11" s="208">
        <v>3</v>
      </c>
      <c r="F11" s="68" t="s">
        <v>22</v>
      </c>
      <c r="G11" s="69">
        <f>'Summary 201718'!B14</f>
        <v>17462</v>
      </c>
      <c r="H11" s="72" t="s">
        <v>23</v>
      </c>
      <c r="I11" s="71">
        <f>'Summary 201718'!D14</f>
        <v>10000</v>
      </c>
    </row>
    <row r="12" spans="1:9" x14ac:dyDescent="0.2">
      <c r="A12" s="151" t="s">
        <v>357</v>
      </c>
      <c r="B12" s="150">
        <f>'Summary 201718'!E28</f>
        <v>110</v>
      </c>
      <c r="C12" s="203"/>
      <c r="F12" s="68" t="s">
        <v>24</v>
      </c>
      <c r="G12" s="69">
        <f>'Summary 201718'!B15</f>
        <v>16371</v>
      </c>
      <c r="H12" s="72" t="s">
        <v>25</v>
      </c>
      <c r="I12" s="71">
        <f>'Summary 201718'!D15</f>
        <v>1000</v>
      </c>
    </row>
    <row r="13" spans="1:9" ht="13.5" thickBot="1" x14ac:dyDescent="0.25">
      <c r="A13" s="168" t="s">
        <v>358</v>
      </c>
      <c r="B13" s="169">
        <f>'Summary 201718'!E28</f>
        <v>110</v>
      </c>
      <c r="C13" s="203"/>
      <c r="F13" s="73"/>
      <c r="G13" s="73"/>
      <c r="H13" s="72" t="s">
        <v>28</v>
      </c>
      <c r="I13" s="71">
        <f>'Summary 201718'!D16</f>
        <v>20000</v>
      </c>
    </row>
    <row r="14" spans="1:9" ht="13.5" thickBot="1" x14ac:dyDescent="0.25">
      <c r="F14" s="73"/>
      <c r="G14" s="73"/>
      <c r="H14" s="72" t="s">
        <v>30</v>
      </c>
      <c r="I14" s="71">
        <f>'Summary 201718'!D17</f>
        <v>12000</v>
      </c>
    </row>
    <row r="15" spans="1:9" x14ac:dyDescent="0.2">
      <c r="A15" s="170" t="s">
        <v>177</v>
      </c>
      <c r="B15" s="171" t="s">
        <v>178</v>
      </c>
      <c r="C15" s="209">
        <v>4</v>
      </c>
      <c r="F15" s="73"/>
      <c r="G15" s="73"/>
      <c r="H15" s="70" t="s">
        <v>31</v>
      </c>
      <c r="I15" s="71">
        <f>'Summary 201718'!D18</f>
        <v>3320</v>
      </c>
    </row>
    <row r="16" spans="1:9" x14ac:dyDescent="0.2">
      <c r="A16" s="172" t="s">
        <v>176</v>
      </c>
      <c r="B16" s="173">
        <f>'Summary 201718'!G15</f>
        <v>12431.498557692306</v>
      </c>
      <c r="C16" s="209"/>
      <c r="F16" s="73"/>
      <c r="G16" s="73"/>
      <c r="H16" s="74" t="s">
        <v>32</v>
      </c>
      <c r="I16" s="71">
        <f>'Summary 201718'!D19</f>
        <v>35000</v>
      </c>
    </row>
    <row r="17" spans="1:10" ht="13.5" thickBot="1" x14ac:dyDescent="0.25">
      <c r="A17" s="386" t="s">
        <v>179</v>
      </c>
      <c r="B17" s="387"/>
      <c r="C17" s="204"/>
    </row>
    <row r="18" spans="1:10" ht="13.5" thickBot="1" x14ac:dyDescent="0.25">
      <c r="G18">
        <v>7</v>
      </c>
      <c r="H18" s="170" t="s">
        <v>190</v>
      </c>
      <c r="I18" s="171" t="s">
        <v>73</v>
      </c>
    </row>
    <row r="19" spans="1:10" x14ac:dyDescent="0.2">
      <c r="A19" s="170" t="s">
        <v>274</v>
      </c>
      <c r="B19" s="171" t="s">
        <v>273</v>
      </c>
      <c r="C19" s="210">
        <v>5</v>
      </c>
      <c r="H19" s="175" t="s">
        <v>10</v>
      </c>
      <c r="I19" s="176">
        <v>30</v>
      </c>
    </row>
    <row r="20" spans="1:10" x14ac:dyDescent="0.2">
      <c r="A20" s="228" t="s">
        <v>270</v>
      </c>
      <c r="B20" s="229">
        <f>(B4+B5+B6+B7)/B12</f>
        <v>20531.556018199015</v>
      </c>
      <c r="H20" s="175" t="s">
        <v>13</v>
      </c>
      <c r="I20" s="176">
        <v>30</v>
      </c>
    </row>
    <row r="21" spans="1:10" x14ac:dyDescent="0.2">
      <c r="A21" s="172" t="s">
        <v>271</v>
      </c>
      <c r="B21" s="173">
        <v>10000</v>
      </c>
      <c r="H21" s="175" t="s">
        <v>16</v>
      </c>
      <c r="I21" s="176">
        <v>30</v>
      </c>
    </row>
    <row r="22" spans="1:10" ht="13.5" thickBot="1" x14ac:dyDescent="0.25">
      <c r="A22" s="179" t="s">
        <v>272</v>
      </c>
      <c r="B22" s="230">
        <f>B20-B21</f>
        <v>10531.556018199015</v>
      </c>
      <c r="C22" s="210" t="s">
        <v>277</v>
      </c>
      <c r="H22" s="175" t="s">
        <v>19</v>
      </c>
      <c r="I22" s="176">
        <v>20</v>
      </c>
    </row>
    <row r="23" spans="1:10" ht="13.5" thickBot="1" x14ac:dyDescent="0.25">
      <c r="H23" s="179" t="s">
        <v>269</v>
      </c>
      <c r="I23" s="178">
        <f>SUM(I19:I22)</f>
        <v>110</v>
      </c>
    </row>
    <row r="24" spans="1:10" x14ac:dyDescent="0.2">
      <c r="A24" s="152" t="s">
        <v>359</v>
      </c>
      <c r="B24" s="116">
        <f>B8</f>
        <v>2258471.1620018915</v>
      </c>
      <c r="C24" s="210">
        <v>8</v>
      </c>
      <c r="D24" s="183" t="s">
        <v>188</v>
      </c>
      <c r="E24" s="183"/>
    </row>
    <row r="25" spans="1:10" x14ac:dyDescent="0.2">
      <c r="A25" s="152"/>
      <c r="B25" s="116"/>
      <c r="C25" s="210"/>
      <c r="D25" s="183"/>
      <c r="E25" s="183"/>
    </row>
    <row r="26" spans="1:10" ht="13.5" thickBot="1" x14ac:dyDescent="0.25">
      <c r="A26" s="19"/>
      <c r="B26" s="19"/>
      <c r="C26" s="211"/>
      <c r="D26" s="19"/>
      <c r="E26" s="19"/>
      <c r="F26" s="19"/>
      <c r="G26" s="19"/>
      <c r="H26" s="19"/>
      <c r="I26" s="19"/>
      <c r="J26" s="65"/>
    </row>
    <row r="28" spans="1:10" ht="18" x14ac:dyDescent="0.25">
      <c r="A28" s="165" t="s">
        <v>360</v>
      </c>
    </row>
    <row r="30" spans="1:10" ht="12.75" customHeight="1" x14ac:dyDescent="0.2">
      <c r="A30" s="385" t="s">
        <v>286</v>
      </c>
      <c r="B30" s="385"/>
      <c r="C30" s="385"/>
      <c r="D30" s="385"/>
      <c r="E30" s="385"/>
      <c r="F30" s="385"/>
      <c r="G30" s="385"/>
      <c r="H30" s="385"/>
      <c r="I30" s="385"/>
      <c r="J30" s="195"/>
    </row>
    <row r="31" spans="1:10" x14ac:dyDescent="0.2">
      <c r="A31" s="385"/>
      <c r="B31" s="385"/>
      <c r="C31" s="385"/>
      <c r="D31" s="385"/>
      <c r="E31" s="385"/>
      <c r="F31" s="385"/>
      <c r="G31" s="385"/>
      <c r="H31" s="385"/>
      <c r="I31" s="385"/>
      <c r="J31" s="195"/>
    </row>
    <row r="33" spans="1:6" x14ac:dyDescent="0.2">
      <c r="B33" s="279" t="s">
        <v>161</v>
      </c>
      <c r="C33" s="210"/>
      <c r="E33" s="279"/>
    </row>
    <row r="34" spans="1:6" x14ac:dyDescent="0.2">
      <c r="A34" t="str">
        <f>'Summary 201718'!A31</f>
        <v>Place Funding: April 17 - August 17</v>
      </c>
      <c r="B34" s="13">
        <f>'Summary 201718'!B31</f>
        <v>10000</v>
      </c>
      <c r="C34" s="231">
        <v>9</v>
      </c>
      <c r="D34" s="13"/>
      <c r="E34" s="13"/>
    </row>
    <row r="35" spans="1:6" x14ac:dyDescent="0.2">
      <c r="A35" t="str">
        <f>'Summary 201718'!A32</f>
        <v>Place Funding: September 17 - March 18</v>
      </c>
      <c r="B35" s="13">
        <f>'Summary 201718'!B32</f>
        <v>10000</v>
      </c>
      <c r="C35" s="210"/>
      <c r="D35" s="13"/>
      <c r="E35" s="13"/>
    </row>
    <row r="36" spans="1:6" x14ac:dyDescent="0.2">
      <c r="B36" s="13"/>
      <c r="C36" s="210"/>
      <c r="D36" s="13"/>
      <c r="E36" s="13"/>
    </row>
    <row r="37" spans="1:6" x14ac:dyDescent="0.2">
      <c r="B37" s="279" t="s">
        <v>73</v>
      </c>
      <c r="C37" s="210"/>
      <c r="D37" s="279" t="s">
        <v>193</v>
      </c>
      <c r="E37" s="279" t="s">
        <v>164</v>
      </c>
    </row>
    <row r="38" spans="1:6" x14ac:dyDescent="0.2">
      <c r="A38" t="str">
        <f>A34</f>
        <v>Place Funding: April 17 - August 17</v>
      </c>
      <c r="B38" s="279">
        <f>'Summary 201718'!D44</f>
        <v>110</v>
      </c>
      <c r="C38" s="210">
        <v>10</v>
      </c>
      <c r="D38" s="13">
        <f>'Summary 201718'!E44</f>
        <v>4166.666666666667</v>
      </c>
      <c r="E38" s="13">
        <f>'Summary 201718'!F44</f>
        <v>458333.33333333337</v>
      </c>
    </row>
    <row r="39" spans="1:6" x14ac:dyDescent="0.2">
      <c r="A39" t="str">
        <f>A35</f>
        <v>Place Funding: September 17 - March 18</v>
      </c>
      <c r="B39" s="279">
        <f>'Summary 201718'!D45</f>
        <v>110</v>
      </c>
      <c r="C39" s="210"/>
      <c r="D39" s="13">
        <f>'Summary 201718'!E45</f>
        <v>5833.3333333333339</v>
      </c>
      <c r="E39" s="13">
        <f>'Summary 201718'!F45</f>
        <v>641666.66666666674</v>
      </c>
    </row>
    <row r="40" spans="1:6" x14ac:dyDescent="0.2">
      <c r="D40" s="113">
        <f>'Summary 201718'!E46</f>
        <v>10000</v>
      </c>
      <c r="E40" s="113">
        <f>'Summary 201718'!F46</f>
        <v>1100000</v>
      </c>
      <c r="F40" s="183">
        <v>11</v>
      </c>
    </row>
    <row r="41" spans="1:6" x14ac:dyDescent="0.2">
      <c r="D41" s="24"/>
      <c r="E41" s="24"/>
    </row>
    <row r="42" spans="1:6" x14ac:dyDescent="0.2">
      <c r="A42" s="180"/>
      <c r="B42" s="279" t="s">
        <v>196</v>
      </c>
      <c r="C42" s="210"/>
    </row>
    <row r="43" spans="1:6" x14ac:dyDescent="0.2">
      <c r="A43" s="140" t="s">
        <v>361</v>
      </c>
      <c r="B43" s="13">
        <f>'Summary 201718'!E37</f>
        <v>16202.393874152329</v>
      </c>
      <c r="C43" s="210">
        <v>12</v>
      </c>
    </row>
    <row r="45" spans="1:6" x14ac:dyDescent="0.2">
      <c r="B45" s="279" t="str">
        <f>'Summary 201718'!D51</f>
        <v>Pupil-led</v>
      </c>
      <c r="C45" s="210"/>
      <c r="D45" s="279" t="str">
        <f>'Summary 201718'!E51</f>
        <v>Top up Value</v>
      </c>
      <c r="E45" s="279" t="str">
        <f>'Summary 201516'!F51</f>
        <v>Top up Funding</v>
      </c>
    </row>
    <row r="46" spans="1:6" x14ac:dyDescent="0.2">
      <c r="A46" s="181" t="s">
        <v>362</v>
      </c>
      <c r="B46" s="279">
        <f>'Summary 201718'!D52</f>
        <v>71.5</v>
      </c>
      <c r="C46" s="210"/>
      <c r="D46" s="13">
        <f>'Summary 201718'!E52</f>
        <v>6750.9974475634708</v>
      </c>
      <c r="E46" s="13">
        <f>'Summary 201718'!F52</f>
        <v>482696.31750078814</v>
      </c>
    </row>
    <row r="47" spans="1:6" x14ac:dyDescent="0.2">
      <c r="A47" s="181" t="s">
        <v>363</v>
      </c>
      <c r="B47" s="279">
        <f>'Summary 201718'!D53</f>
        <v>71.5</v>
      </c>
      <c r="C47" s="210"/>
      <c r="D47" s="13">
        <f>'Summary 201718'!E53</f>
        <v>9451.3964265888626</v>
      </c>
      <c r="E47" s="13">
        <f>'Summary 201718'!F53</f>
        <v>675774.84450110362</v>
      </c>
    </row>
    <row r="48" spans="1:6" x14ac:dyDescent="0.2">
      <c r="D48" s="113">
        <f>'Summary 201718'!E54</f>
        <v>16202.393874152334</v>
      </c>
      <c r="E48" s="113">
        <f>'Summary 201718'!F54</f>
        <v>1158471.1620018918</v>
      </c>
    </row>
    <row r="49" spans="1:6" x14ac:dyDescent="0.2">
      <c r="F49" s="183">
        <v>13</v>
      </c>
    </row>
    <row r="50" spans="1:6" x14ac:dyDescent="0.2">
      <c r="B50" s="279" t="str">
        <f>'Summary 201718'!D56</f>
        <v>Pupil-led</v>
      </c>
      <c r="C50" s="210"/>
      <c r="D50" s="279" t="str">
        <f>'Summary 201718'!E56</f>
        <v>Top up Value</v>
      </c>
      <c r="E50" s="279" t="str">
        <f>'Summary 201718'!F56</f>
        <v>Top up Funding</v>
      </c>
    </row>
    <row r="51" spans="1:6" x14ac:dyDescent="0.2">
      <c r="A51" s="181" t="s">
        <v>362</v>
      </c>
      <c r="B51" s="279">
        <f>'Summary 201718'!D57</f>
        <v>38.5</v>
      </c>
      <c r="C51" s="210"/>
      <c r="D51" s="13">
        <f>'Summary 201718'!E57</f>
        <v>0</v>
      </c>
      <c r="E51" s="13">
        <f>'Summary 201718'!F57</f>
        <v>0</v>
      </c>
    </row>
    <row r="52" spans="1:6" x14ac:dyDescent="0.2">
      <c r="A52" s="181" t="s">
        <v>363</v>
      </c>
      <c r="B52" s="279">
        <f>'Summary 201718'!D58</f>
        <v>38.5</v>
      </c>
      <c r="C52" s="210"/>
      <c r="D52" s="13">
        <f>'Summary 201718'!E58</f>
        <v>0</v>
      </c>
      <c r="E52" s="13">
        <f>'Summary 201718'!F58</f>
        <v>0</v>
      </c>
    </row>
    <row r="53" spans="1:6" x14ac:dyDescent="0.2">
      <c r="D53" s="113">
        <f>'Summary 201718'!E59</f>
        <v>0</v>
      </c>
      <c r="E53" s="113">
        <f>'Summary 201718'!F59</f>
        <v>0</v>
      </c>
    </row>
    <row r="54" spans="1:6" x14ac:dyDescent="0.2">
      <c r="D54" s="24"/>
      <c r="E54" s="24"/>
    </row>
    <row r="55" spans="1:6" x14ac:dyDescent="0.2">
      <c r="B55" s="182" t="str">
        <f>'Summary 201718'!D62</f>
        <v>2017/18 Indicative Place-led and Top up Funding</v>
      </c>
      <c r="C55" s="212"/>
      <c r="E55" s="116">
        <f>'Summary 201718'!F62</f>
        <v>2258471.162001892</v>
      </c>
      <c r="F55" s="183">
        <v>14</v>
      </c>
    </row>
    <row r="56" spans="1:6" x14ac:dyDescent="0.2">
      <c r="F56" s="183"/>
    </row>
    <row r="57" spans="1:6" x14ac:dyDescent="0.2">
      <c r="B57" s="163" t="s">
        <v>49</v>
      </c>
      <c r="C57" s="205"/>
      <c r="E57" s="164" t="s">
        <v>185</v>
      </c>
      <c r="F57" s="183"/>
    </row>
    <row r="58" spans="1:6" x14ac:dyDescent="0.2">
      <c r="B58" s="161" t="s">
        <v>181</v>
      </c>
      <c r="C58" s="205"/>
      <c r="E58" s="13">
        <v>0</v>
      </c>
      <c r="F58" s="183"/>
    </row>
    <row r="59" spans="1:6" x14ac:dyDescent="0.2">
      <c r="B59" s="161" t="s">
        <v>182</v>
      </c>
      <c r="C59" s="205"/>
      <c r="E59" s="13">
        <v>0</v>
      </c>
      <c r="F59" s="183"/>
    </row>
    <row r="60" spans="1:6" x14ac:dyDescent="0.2">
      <c r="B60" s="161"/>
      <c r="C60" s="205"/>
      <c r="E60" s="166">
        <f>SUM(E58:E59)</f>
        <v>0</v>
      </c>
      <c r="F60" s="183"/>
    </row>
    <row r="61" spans="1:6" x14ac:dyDescent="0.2">
      <c r="E61" s="13"/>
      <c r="F61" s="183"/>
    </row>
    <row r="62" spans="1:6" x14ac:dyDescent="0.2">
      <c r="B62" s="152" t="s">
        <v>252</v>
      </c>
      <c r="C62" s="214"/>
      <c r="E62" s="116">
        <f>E55+E60</f>
        <v>2258471.162001892</v>
      </c>
      <c r="F62" s="183">
        <v>15</v>
      </c>
    </row>
    <row r="65" spans="1:9" ht="12.75" customHeight="1" x14ac:dyDescent="0.2">
      <c r="A65" s="388" t="s">
        <v>397</v>
      </c>
      <c r="B65" s="388"/>
      <c r="C65" s="388"/>
      <c r="D65" s="388"/>
      <c r="F65" s="388" t="s">
        <v>370</v>
      </c>
      <c r="G65" s="388"/>
      <c r="H65" s="388"/>
      <c r="I65" s="388"/>
    </row>
    <row r="66" spans="1:9" x14ac:dyDescent="0.2">
      <c r="A66" s="388"/>
      <c r="B66" s="388"/>
      <c r="C66" s="388"/>
      <c r="D66" s="388"/>
      <c r="F66" s="388"/>
      <c r="G66" s="388"/>
      <c r="H66" s="388"/>
      <c r="I66" s="388"/>
    </row>
    <row r="67" spans="1:9" x14ac:dyDescent="0.2">
      <c r="A67" s="388"/>
      <c r="B67" s="388"/>
      <c r="C67" s="388"/>
      <c r="D67" s="388"/>
      <c r="F67" s="388"/>
      <c r="G67" s="388"/>
      <c r="H67" s="388"/>
      <c r="I67" s="388"/>
    </row>
    <row r="68" spans="1:9" x14ac:dyDescent="0.2">
      <c r="A68" s="388"/>
      <c r="B68" s="388"/>
      <c r="C68" s="388"/>
      <c r="D68" s="388"/>
      <c r="F68" s="388"/>
      <c r="G68" s="388"/>
      <c r="H68" s="388"/>
      <c r="I68" s="388"/>
    </row>
    <row r="69" spans="1:9" x14ac:dyDescent="0.2">
      <c r="A69" s="388"/>
      <c r="B69" s="388"/>
      <c r="C69" s="388"/>
      <c r="D69" s="388"/>
      <c r="F69" s="388"/>
      <c r="G69" s="388"/>
      <c r="H69" s="388"/>
      <c r="I69" s="388"/>
    </row>
    <row r="70" spans="1:9" x14ac:dyDescent="0.2">
      <c r="A70" s="388"/>
      <c r="B70" s="388"/>
      <c r="C70" s="388"/>
      <c r="D70" s="388"/>
      <c r="F70" s="388"/>
      <c r="G70" s="388"/>
      <c r="H70" s="388"/>
      <c r="I70" s="388"/>
    </row>
    <row r="71" spans="1:9" x14ac:dyDescent="0.2">
      <c r="A71" s="388"/>
      <c r="B71" s="388"/>
      <c r="C71" s="388"/>
      <c r="D71" s="388"/>
      <c r="F71" s="388"/>
      <c r="G71" s="388"/>
      <c r="H71" s="388"/>
      <c r="I71" s="388"/>
    </row>
    <row r="72" spans="1:9" x14ac:dyDescent="0.2">
      <c r="A72" s="388"/>
      <c r="B72" s="388"/>
      <c r="C72" s="388"/>
      <c r="D72" s="388"/>
      <c r="F72" s="388"/>
      <c r="G72" s="388"/>
      <c r="H72" s="388"/>
      <c r="I72" s="388"/>
    </row>
    <row r="73" spans="1:9" x14ac:dyDescent="0.2">
      <c r="A73" s="388"/>
      <c r="B73" s="388"/>
      <c r="C73" s="388"/>
      <c r="D73" s="388"/>
      <c r="F73" s="388" t="s">
        <v>371</v>
      </c>
      <c r="G73" s="388"/>
      <c r="H73" s="388"/>
      <c r="I73" s="388"/>
    </row>
    <row r="74" spans="1:9" x14ac:dyDescent="0.2">
      <c r="F74" s="388"/>
      <c r="G74" s="388"/>
      <c r="H74" s="388"/>
      <c r="I74" s="388"/>
    </row>
    <row r="75" spans="1:9" ht="12.75" customHeight="1" x14ac:dyDescent="0.2">
      <c r="A75" s="388" t="s">
        <v>364</v>
      </c>
      <c r="B75" s="388"/>
      <c r="C75" s="388"/>
      <c r="D75" s="388"/>
      <c r="F75" s="216"/>
      <c r="G75" s="216"/>
      <c r="H75" s="216"/>
      <c r="I75" s="216"/>
    </row>
    <row r="76" spans="1:9" x14ac:dyDescent="0.2">
      <c r="A76" s="388"/>
      <c r="B76" s="388"/>
      <c r="C76" s="388"/>
      <c r="D76" s="388"/>
      <c r="F76" s="388" t="s">
        <v>366</v>
      </c>
      <c r="G76" s="388"/>
      <c r="H76" s="388"/>
      <c r="I76" s="388"/>
    </row>
    <row r="77" spans="1:9" ht="12.75" customHeight="1" x14ac:dyDescent="0.2">
      <c r="A77" s="388"/>
      <c r="B77" s="388"/>
      <c r="C77" s="388"/>
      <c r="D77" s="388"/>
      <c r="F77" s="388"/>
      <c r="G77" s="388"/>
      <c r="H77" s="388"/>
      <c r="I77" s="388"/>
    </row>
    <row r="78" spans="1:9" x14ac:dyDescent="0.2">
      <c r="A78" s="388"/>
      <c r="B78" s="388"/>
      <c r="C78" s="388"/>
      <c r="D78" s="388"/>
      <c r="F78" s="384" t="s">
        <v>367</v>
      </c>
      <c r="G78" s="384"/>
      <c r="H78" s="384"/>
      <c r="I78" s="384"/>
    </row>
    <row r="79" spans="1:9" x14ac:dyDescent="0.2">
      <c r="F79" s="384"/>
      <c r="G79" s="384"/>
      <c r="H79" s="384"/>
      <c r="I79" s="384"/>
    </row>
    <row r="80" spans="1:9" ht="12.75" customHeight="1" x14ac:dyDescent="0.2">
      <c r="A80" s="384" t="s">
        <v>217</v>
      </c>
      <c r="B80" s="384"/>
      <c r="C80" s="384"/>
      <c r="D80" s="384"/>
      <c r="F80" s="384"/>
      <c r="G80" s="384"/>
      <c r="H80" s="384"/>
      <c r="I80" s="384"/>
    </row>
    <row r="81" spans="1:9" x14ac:dyDescent="0.2">
      <c r="A81" s="384"/>
      <c r="B81" s="384"/>
      <c r="C81" s="384"/>
      <c r="D81" s="384"/>
      <c r="F81" s="384"/>
      <c r="G81" s="384"/>
      <c r="H81" s="384"/>
      <c r="I81" s="384"/>
    </row>
    <row r="82" spans="1:9" x14ac:dyDescent="0.2">
      <c r="F82" s="384"/>
      <c r="G82" s="384"/>
      <c r="H82" s="384"/>
      <c r="I82" s="384"/>
    </row>
    <row r="83" spans="1:9" ht="12.75" customHeight="1" x14ac:dyDescent="0.2">
      <c r="A83" s="384" t="s">
        <v>365</v>
      </c>
      <c r="B83" s="384"/>
      <c r="C83" s="384"/>
      <c r="D83" s="384"/>
      <c r="F83" s="384"/>
      <c r="G83" s="384"/>
      <c r="H83" s="384"/>
      <c r="I83" s="384"/>
    </row>
    <row r="84" spans="1:9" x14ac:dyDescent="0.2">
      <c r="A84" s="384"/>
      <c r="B84" s="384"/>
      <c r="C84" s="384"/>
      <c r="D84" s="384"/>
      <c r="F84" s="384"/>
      <c r="G84" s="384"/>
      <c r="H84" s="384"/>
      <c r="I84" s="384"/>
    </row>
    <row r="85" spans="1:9" x14ac:dyDescent="0.2">
      <c r="A85" s="384"/>
      <c r="B85" s="384"/>
      <c r="C85" s="384"/>
      <c r="D85" s="384"/>
      <c r="F85" s="384"/>
      <c r="G85" s="384"/>
      <c r="H85" s="384"/>
      <c r="I85" s="384"/>
    </row>
    <row r="86" spans="1:9" x14ac:dyDescent="0.2">
      <c r="A86" s="384"/>
      <c r="B86" s="384"/>
      <c r="C86" s="384"/>
      <c r="D86" s="384"/>
      <c r="F86" s="384"/>
      <c r="G86" s="384"/>
      <c r="H86" s="384"/>
      <c r="I86" s="384"/>
    </row>
    <row r="87" spans="1:9" x14ac:dyDescent="0.2">
      <c r="A87" s="384"/>
      <c r="B87" s="384"/>
      <c r="C87" s="384"/>
      <c r="D87" s="384"/>
      <c r="F87" s="384"/>
      <c r="G87" s="384"/>
      <c r="H87" s="384"/>
      <c r="I87" s="384"/>
    </row>
    <row r="88" spans="1:9" x14ac:dyDescent="0.2">
      <c r="A88" s="384"/>
      <c r="B88" s="384"/>
      <c r="C88" s="384"/>
      <c r="D88" s="384"/>
      <c r="F88" s="384"/>
      <c r="G88" s="384"/>
      <c r="H88" s="384"/>
      <c r="I88" s="384"/>
    </row>
    <row r="89" spans="1:9" ht="12.75" customHeight="1" x14ac:dyDescent="0.2">
      <c r="F89" s="384"/>
      <c r="G89" s="384"/>
      <c r="H89" s="384"/>
      <c r="I89" s="384"/>
    </row>
    <row r="90" spans="1:9" ht="12.75" customHeight="1" x14ac:dyDescent="0.2">
      <c r="A90" s="384" t="s">
        <v>289</v>
      </c>
      <c r="B90" s="384"/>
      <c r="C90" s="384"/>
      <c r="D90" s="384"/>
      <c r="F90" s="220"/>
      <c r="G90" s="220"/>
      <c r="H90" s="220"/>
      <c r="I90" s="220"/>
    </row>
    <row r="91" spans="1:9" x14ac:dyDescent="0.2">
      <c r="A91" s="384"/>
      <c r="B91" s="384"/>
      <c r="C91" s="384"/>
      <c r="D91" s="384"/>
      <c r="F91" s="384" t="s">
        <v>368</v>
      </c>
      <c r="G91" s="384"/>
      <c r="H91" s="384"/>
      <c r="I91" s="384"/>
    </row>
    <row r="92" spans="1:9" x14ac:dyDescent="0.2">
      <c r="A92" s="384"/>
      <c r="B92" s="384"/>
      <c r="C92" s="384"/>
      <c r="D92" s="384"/>
      <c r="F92" s="384"/>
      <c r="G92" s="384"/>
      <c r="H92" s="384"/>
      <c r="I92" s="384"/>
    </row>
    <row r="93" spans="1:9" ht="12.75" customHeight="1" x14ac:dyDescent="0.2">
      <c r="A93" s="384"/>
      <c r="B93" s="384"/>
      <c r="C93" s="384"/>
      <c r="D93" s="384"/>
      <c r="F93" s="384"/>
      <c r="G93" s="384"/>
      <c r="H93" s="384"/>
      <c r="I93" s="384"/>
    </row>
    <row r="94" spans="1:9" ht="12.75" customHeight="1" x14ac:dyDescent="0.2">
      <c r="A94" s="384"/>
      <c r="B94" s="384"/>
      <c r="C94" s="384"/>
      <c r="D94" s="384"/>
      <c r="F94" s="384"/>
      <c r="G94" s="384"/>
      <c r="H94" s="384"/>
      <c r="I94" s="384"/>
    </row>
    <row r="95" spans="1:9" x14ac:dyDescent="0.2">
      <c r="A95" s="384"/>
      <c r="B95" s="384"/>
      <c r="C95" s="384"/>
      <c r="D95" s="384"/>
      <c r="F95" s="384"/>
      <c r="G95" s="384"/>
      <c r="H95" s="384"/>
      <c r="I95" s="384"/>
    </row>
    <row r="96" spans="1:9" x14ac:dyDescent="0.2">
      <c r="A96" s="384"/>
      <c r="B96" s="384"/>
      <c r="C96" s="384"/>
      <c r="D96" s="384"/>
      <c r="F96" s="384"/>
      <c r="G96" s="384"/>
      <c r="H96" s="384"/>
      <c r="I96" s="384"/>
    </row>
    <row r="97" spans="1:9" x14ac:dyDescent="0.2">
      <c r="A97" s="384"/>
      <c r="B97" s="384"/>
      <c r="C97" s="384"/>
      <c r="D97" s="384"/>
      <c r="F97" s="384"/>
      <c r="G97" s="384"/>
      <c r="H97" s="384"/>
      <c r="I97" s="384"/>
    </row>
    <row r="98" spans="1:9" x14ac:dyDescent="0.2">
      <c r="A98" s="220"/>
      <c r="B98" s="220"/>
      <c r="C98" s="220"/>
      <c r="D98" s="220"/>
      <c r="F98" s="384"/>
      <c r="G98" s="384"/>
      <c r="H98" s="384"/>
      <c r="I98" s="384"/>
    </row>
    <row r="99" spans="1:9" x14ac:dyDescent="0.2">
      <c r="A99" s="384" t="s">
        <v>278</v>
      </c>
      <c r="B99" s="384"/>
      <c r="C99" s="384"/>
      <c r="D99" s="384"/>
      <c r="F99" s="384"/>
      <c r="G99" s="384"/>
      <c r="H99" s="384"/>
      <c r="I99" s="384"/>
    </row>
    <row r="100" spans="1:9" x14ac:dyDescent="0.2">
      <c r="A100" s="384"/>
      <c r="B100" s="384"/>
      <c r="C100" s="384"/>
      <c r="D100" s="384"/>
      <c r="F100" s="384"/>
      <c r="G100" s="384"/>
      <c r="H100" s="384"/>
      <c r="I100" s="384"/>
    </row>
    <row r="101" spans="1:9" x14ac:dyDescent="0.2">
      <c r="A101" s="384"/>
      <c r="B101" s="384"/>
      <c r="C101" s="384"/>
      <c r="D101" s="384"/>
      <c r="F101" s="384"/>
      <c r="G101" s="384"/>
      <c r="H101" s="384"/>
      <c r="I101" s="384"/>
    </row>
    <row r="102" spans="1:9" x14ac:dyDescent="0.2">
      <c r="A102" s="220"/>
      <c r="B102" s="220"/>
      <c r="C102" s="220"/>
      <c r="D102" s="220"/>
      <c r="F102" s="384"/>
      <c r="G102" s="384"/>
      <c r="H102" s="384"/>
      <c r="I102" s="384"/>
    </row>
    <row r="103" spans="1:9" x14ac:dyDescent="0.2">
      <c r="A103" s="388" t="s">
        <v>279</v>
      </c>
      <c r="B103" s="388"/>
      <c r="C103" s="388"/>
      <c r="D103" s="388"/>
      <c r="F103" s="384"/>
      <c r="G103" s="384"/>
      <c r="H103" s="384"/>
      <c r="I103" s="384"/>
    </row>
    <row r="104" spans="1:9" x14ac:dyDescent="0.2">
      <c r="A104" s="388"/>
      <c r="B104" s="388"/>
      <c r="C104" s="388"/>
      <c r="D104" s="388"/>
      <c r="F104" s="384"/>
      <c r="G104" s="384"/>
      <c r="H104" s="384"/>
      <c r="I104" s="384"/>
    </row>
    <row r="105" spans="1:9" ht="12.75" customHeight="1" x14ac:dyDescent="0.2">
      <c r="A105" s="220"/>
      <c r="B105" s="220"/>
      <c r="C105" s="220"/>
      <c r="D105" s="220"/>
      <c r="F105" s="220"/>
      <c r="G105" s="220"/>
      <c r="H105" s="220"/>
      <c r="I105" s="220"/>
    </row>
    <row r="106" spans="1:9" ht="12.75" customHeight="1" x14ac:dyDescent="0.2">
      <c r="A106" s="384" t="s">
        <v>369</v>
      </c>
      <c r="B106" s="384"/>
      <c r="C106" s="384"/>
      <c r="D106" s="384"/>
      <c r="F106" s="384" t="s">
        <v>372</v>
      </c>
      <c r="G106" s="384"/>
      <c r="H106" s="384"/>
      <c r="I106" s="384"/>
    </row>
    <row r="107" spans="1:9" x14ac:dyDescent="0.2">
      <c r="A107" s="384"/>
      <c r="B107" s="384"/>
      <c r="C107" s="384"/>
      <c r="D107" s="384"/>
      <c r="F107" s="384"/>
      <c r="G107" s="384"/>
      <c r="H107" s="384"/>
      <c r="I107" s="384"/>
    </row>
    <row r="108" spans="1:9" x14ac:dyDescent="0.2">
      <c r="A108" s="384"/>
      <c r="B108" s="384"/>
      <c r="C108" s="384"/>
      <c r="D108" s="384"/>
      <c r="F108" s="384"/>
      <c r="G108" s="384"/>
      <c r="H108" s="384"/>
      <c r="I108" s="384"/>
    </row>
    <row r="110" spans="1:9" ht="12.75" customHeight="1" x14ac:dyDescent="0.2">
      <c r="F110" s="384" t="s">
        <v>373</v>
      </c>
      <c r="G110" s="384"/>
      <c r="H110" s="384"/>
      <c r="I110" s="384"/>
    </row>
    <row r="111" spans="1:9" ht="12.75" customHeight="1" x14ac:dyDescent="0.2">
      <c r="F111" s="384"/>
      <c r="G111" s="384"/>
      <c r="H111" s="384"/>
      <c r="I111" s="384"/>
    </row>
    <row r="112" spans="1:9" ht="12.75" customHeight="1" x14ac:dyDescent="0.2">
      <c r="F112" s="384"/>
      <c r="G112" s="384"/>
      <c r="H112" s="384"/>
      <c r="I112" s="384"/>
    </row>
    <row r="113" spans="6:9" ht="12.75" customHeight="1" x14ac:dyDescent="0.2">
      <c r="F113" s="220"/>
      <c r="G113" s="220"/>
      <c r="H113" s="220"/>
      <c r="I113" s="220"/>
    </row>
    <row r="114" spans="6:9" ht="12.75" customHeight="1" x14ac:dyDescent="0.2"/>
    <row r="115" spans="6:9" x14ac:dyDescent="0.2">
      <c r="G115" s="220"/>
      <c r="H115" s="220"/>
      <c r="I115" s="220"/>
    </row>
    <row r="116" spans="6:9" x14ac:dyDescent="0.2">
      <c r="F116" s="220"/>
      <c r="G116" s="220"/>
      <c r="H116" s="220"/>
      <c r="I116" s="220"/>
    </row>
    <row r="117" spans="6:9" ht="12.75" customHeight="1" x14ac:dyDescent="0.2">
      <c r="F117" s="220"/>
      <c r="G117" s="220"/>
      <c r="H117" s="220"/>
      <c r="I117" s="220"/>
    </row>
    <row r="118" spans="6:9" x14ac:dyDescent="0.2">
      <c r="F118" s="220"/>
      <c r="G118" s="220"/>
      <c r="H118" s="220"/>
      <c r="I118" s="220"/>
    </row>
    <row r="119" spans="6:9" x14ac:dyDescent="0.2">
      <c r="F119" s="280"/>
      <c r="G119" s="280"/>
      <c r="H119" s="280"/>
      <c r="I119" s="280"/>
    </row>
    <row r="120" spans="6:9" x14ac:dyDescent="0.2">
      <c r="F120" s="280"/>
      <c r="G120" s="280"/>
      <c r="H120" s="280"/>
      <c r="I120" s="280"/>
    </row>
  </sheetData>
  <mergeCells count="17">
    <mergeCell ref="A17:B17"/>
    <mergeCell ref="A30:I31"/>
    <mergeCell ref="A65:D73"/>
    <mergeCell ref="F65:I72"/>
    <mergeCell ref="F73:I74"/>
    <mergeCell ref="F110:I112"/>
    <mergeCell ref="A106:D108"/>
    <mergeCell ref="A80:D81"/>
    <mergeCell ref="F78:I89"/>
    <mergeCell ref="A83:D88"/>
    <mergeCell ref="A90:D97"/>
    <mergeCell ref="F91:I104"/>
    <mergeCell ref="A99:D101"/>
    <mergeCell ref="A103:D104"/>
    <mergeCell ref="F106:I108"/>
    <mergeCell ref="A75:D78"/>
    <mergeCell ref="F76:I77"/>
  </mergeCells>
  <pageMargins left="0.70866141732283472" right="0.70866141732283472" top="0.74803149606299213" bottom="0.74803149606299213" header="0.31496062992125984" footer="0.31496062992125984"/>
  <pageSetup paperSize="9" scale="6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65"/>
  <sheetViews>
    <sheetView workbookViewId="0">
      <selection activeCell="A31" sqref="A31"/>
    </sheetView>
  </sheetViews>
  <sheetFormatPr defaultRowHeight="12.75" x14ac:dyDescent="0.2"/>
  <cols>
    <col min="1" max="1" width="50" customWidth="1"/>
    <col min="2" max="2" width="27.7109375" customWidth="1"/>
    <col min="3" max="3" width="3.42578125" customWidth="1"/>
    <col min="4" max="5" width="25.7109375" customWidth="1"/>
    <col min="6" max="6" width="37.7109375" customWidth="1"/>
    <col min="7" max="7" width="40.7109375" customWidth="1"/>
  </cols>
  <sheetData>
    <row r="1" spans="1:9" ht="18" x14ac:dyDescent="0.25">
      <c r="A1" s="165" t="s">
        <v>383</v>
      </c>
    </row>
    <row r="3" spans="1:9" ht="22.5" customHeight="1" x14ac:dyDescent="0.2">
      <c r="A3" s="157" t="s">
        <v>396</v>
      </c>
      <c r="B3" s="242"/>
      <c r="C3" s="158"/>
      <c r="F3" s="259"/>
      <c r="G3" s="259"/>
      <c r="H3" s="187"/>
      <c r="I3" s="65"/>
    </row>
    <row r="4" spans="1:9" x14ac:dyDescent="0.2">
      <c r="A4" s="263"/>
      <c r="B4" s="131"/>
      <c r="C4" s="131"/>
      <c r="F4" s="260"/>
      <c r="G4" s="261"/>
      <c r="H4" s="77"/>
      <c r="I4" s="65"/>
    </row>
    <row r="5" spans="1:9" x14ac:dyDescent="0.2">
      <c r="A5" s="272" t="s">
        <v>384</v>
      </c>
      <c r="B5" s="273">
        <v>142</v>
      </c>
      <c r="C5" s="203">
        <v>1</v>
      </c>
      <c r="F5" s="96"/>
      <c r="G5" s="189"/>
      <c r="H5" s="77"/>
      <c r="I5" s="65"/>
    </row>
    <row r="6" spans="1:9" x14ac:dyDescent="0.2">
      <c r="A6" s="264"/>
      <c r="B6" s="265"/>
      <c r="C6" s="203"/>
      <c r="F6" s="96"/>
      <c r="G6" s="189"/>
      <c r="H6" s="77"/>
      <c r="I6" s="65"/>
    </row>
    <row r="7" spans="1:9" x14ac:dyDescent="0.2">
      <c r="A7" s="269"/>
      <c r="B7" s="271" t="s">
        <v>345</v>
      </c>
      <c r="C7" s="274"/>
      <c r="D7" s="183"/>
      <c r="F7" s="262"/>
      <c r="G7" s="189"/>
      <c r="H7" s="77"/>
      <c r="I7" s="65"/>
    </row>
    <row r="8" spans="1:9" x14ac:dyDescent="0.2">
      <c r="A8" s="174" t="s">
        <v>164</v>
      </c>
      <c r="B8" s="266">
        <v>10000</v>
      </c>
      <c r="C8" s="275">
        <v>2</v>
      </c>
      <c r="D8" s="183"/>
      <c r="F8" s="96"/>
      <c r="G8" s="189"/>
      <c r="H8" s="77"/>
      <c r="I8" s="65"/>
    </row>
    <row r="9" spans="1:9" x14ac:dyDescent="0.2">
      <c r="A9" s="270" t="s">
        <v>160</v>
      </c>
      <c r="B9" s="266">
        <v>10500</v>
      </c>
      <c r="C9" s="275">
        <v>3</v>
      </c>
      <c r="D9" s="183"/>
      <c r="F9" s="96"/>
      <c r="G9" s="189"/>
      <c r="H9" s="77"/>
      <c r="I9" s="65"/>
    </row>
    <row r="10" spans="1:9" x14ac:dyDescent="0.2">
      <c r="A10" s="267" t="s">
        <v>344</v>
      </c>
      <c r="B10" s="268">
        <f>SUM(B8:B9)</f>
        <v>20500</v>
      </c>
      <c r="C10" s="275">
        <v>4</v>
      </c>
      <c r="D10" s="183"/>
      <c r="F10" s="96"/>
      <c r="G10" s="189"/>
      <c r="H10" s="77"/>
      <c r="I10" s="65"/>
    </row>
    <row r="11" spans="1:9" x14ac:dyDescent="0.2">
      <c r="B11" s="13"/>
      <c r="C11" s="279"/>
      <c r="D11" s="183"/>
      <c r="F11" s="262"/>
      <c r="G11" s="189"/>
      <c r="H11" s="77"/>
      <c r="I11" s="65"/>
    </row>
    <row r="12" spans="1:9" ht="12.75" customHeight="1" x14ac:dyDescent="0.2">
      <c r="A12" s="396" t="s">
        <v>387</v>
      </c>
      <c r="B12" s="396"/>
      <c r="C12" s="396"/>
      <c r="D12" s="396"/>
      <c r="E12" s="396"/>
      <c r="F12" s="396"/>
      <c r="G12" s="396"/>
      <c r="H12" s="77"/>
      <c r="I12" s="65"/>
    </row>
    <row r="13" spans="1:9" x14ac:dyDescent="0.2">
      <c r="A13" s="396"/>
      <c r="B13" s="396"/>
      <c r="C13" s="396"/>
      <c r="D13" s="396"/>
      <c r="E13" s="396"/>
      <c r="F13" s="396"/>
      <c r="G13" s="396"/>
      <c r="H13" s="77"/>
      <c r="I13" s="65"/>
    </row>
    <row r="14" spans="1:9" x14ac:dyDescent="0.2">
      <c r="A14" s="396"/>
      <c r="B14" s="396"/>
      <c r="C14" s="396"/>
      <c r="D14" s="396"/>
      <c r="E14" s="396"/>
      <c r="F14" s="396"/>
      <c r="G14" s="396"/>
      <c r="I14" s="65"/>
    </row>
    <row r="15" spans="1:9" ht="13.5" thickBot="1" x14ac:dyDescent="0.25">
      <c r="A15" s="19"/>
      <c r="B15" s="19"/>
      <c r="C15" s="19"/>
      <c r="D15" s="19"/>
      <c r="E15" s="19"/>
      <c r="F15" s="19"/>
      <c r="G15" s="19"/>
      <c r="H15" s="19"/>
      <c r="I15" s="65"/>
    </row>
    <row r="16" spans="1:9" x14ac:dyDescent="0.2">
      <c r="A16" s="65"/>
      <c r="B16" s="65"/>
      <c r="C16" s="65"/>
      <c r="D16" s="65"/>
      <c r="E16" s="65"/>
      <c r="F16" s="65"/>
      <c r="G16" s="65"/>
      <c r="H16" s="65"/>
      <c r="I16" s="65"/>
    </row>
    <row r="17" spans="1:9" ht="18" x14ac:dyDescent="0.25">
      <c r="A17" s="165" t="s">
        <v>360</v>
      </c>
      <c r="I17" s="65"/>
    </row>
    <row r="20" spans="1:9" x14ac:dyDescent="0.2">
      <c r="A20" t="s">
        <v>388</v>
      </c>
      <c r="B20" s="13">
        <v>10000</v>
      </c>
      <c r="C20" s="219"/>
      <c r="D20" s="218"/>
      <c r="E20" s="13"/>
    </row>
    <row r="21" spans="1:9" x14ac:dyDescent="0.2">
      <c r="B21" s="13"/>
      <c r="C21" s="13"/>
      <c r="D21" s="13"/>
      <c r="E21" s="13"/>
    </row>
    <row r="22" spans="1:9" x14ac:dyDescent="0.2">
      <c r="B22" s="279" t="s">
        <v>73</v>
      </c>
      <c r="C22" s="279"/>
      <c r="D22" s="279" t="s">
        <v>193</v>
      </c>
      <c r="E22" s="279" t="s">
        <v>164</v>
      </c>
    </row>
    <row r="23" spans="1:9" x14ac:dyDescent="0.2">
      <c r="A23" t="s">
        <v>388</v>
      </c>
      <c r="B23" s="279">
        <v>142</v>
      </c>
      <c r="C23" s="219"/>
      <c r="D23" s="13">
        <f>B20</f>
        <v>10000</v>
      </c>
      <c r="E23" s="13">
        <f>B23*D23</f>
        <v>1420000</v>
      </c>
    </row>
    <row r="24" spans="1:9" x14ac:dyDescent="0.2">
      <c r="D24" s="113">
        <f>SUM(D23:D23)</f>
        <v>10000</v>
      </c>
      <c r="E24" s="113">
        <f>SUM(E23:E23)</f>
        <v>1420000</v>
      </c>
      <c r="F24" s="218">
        <v>5</v>
      </c>
    </row>
    <row r="25" spans="1:9" x14ac:dyDescent="0.2">
      <c r="D25" s="24"/>
      <c r="E25" s="24"/>
    </row>
    <row r="26" spans="1:9" x14ac:dyDescent="0.2">
      <c r="A26" s="180"/>
      <c r="B26" s="279" t="s">
        <v>64</v>
      </c>
      <c r="C26" s="279"/>
    </row>
    <row r="27" spans="1:9" x14ac:dyDescent="0.2">
      <c r="A27" s="140" t="s">
        <v>389</v>
      </c>
      <c r="B27" s="13">
        <f>B9</f>
        <v>10500</v>
      </c>
      <c r="C27" s="219"/>
    </row>
    <row r="29" spans="1:9" x14ac:dyDescent="0.2">
      <c r="B29" s="279" t="str">
        <f>'Summary 201718'!D51</f>
        <v>Pupil-led</v>
      </c>
      <c r="C29" s="279"/>
      <c r="D29" s="279" t="str">
        <f>'Summary 201718'!E51</f>
        <v>Top up Value</v>
      </c>
      <c r="E29" s="279" t="str">
        <f>'Summary 201718'!F51</f>
        <v>Top up Funding</v>
      </c>
    </row>
    <row r="30" spans="1:9" x14ac:dyDescent="0.2">
      <c r="A30" s="181" t="s">
        <v>390</v>
      </c>
      <c r="B30" s="279">
        <v>142</v>
      </c>
      <c r="C30" s="279"/>
      <c r="D30" s="13">
        <f>B27</f>
        <v>10500</v>
      </c>
      <c r="E30" s="13">
        <f>B30*D30</f>
        <v>1491000</v>
      </c>
    </row>
    <row r="31" spans="1:9" x14ac:dyDescent="0.2">
      <c r="D31" s="113">
        <f>SUM(D30:D30)</f>
        <v>10500</v>
      </c>
      <c r="E31" s="113">
        <f>SUM(E30:E30)</f>
        <v>1491000</v>
      </c>
      <c r="F31" s="183">
        <v>6</v>
      </c>
    </row>
    <row r="32" spans="1:9" x14ac:dyDescent="0.2">
      <c r="F32" s="183"/>
    </row>
    <row r="33" spans="1:7" x14ac:dyDescent="0.2">
      <c r="F33" s="183"/>
    </row>
    <row r="34" spans="1:7" x14ac:dyDescent="0.2">
      <c r="B34" s="182" t="s">
        <v>382</v>
      </c>
      <c r="C34" s="182"/>
      <c r="E34" s="116">
        <f>E24+E31</f>
        <v>2911000</v>
      </c>
      <c r="F34" s="183">
        <v>7</v>
      </c>
    </row>
    <row r="37" spans="1:7" ht="12.75" customHeight="1" x14ac:dyDescent="0.2">
      <c r="A37" s="395" t="s">
        <v>391</v>
      </c>
      <c r="B37" s="395"/>
      <c r="C37" s="395"/>
      <c r="D37" s="395"/>
      <c r="E37" s="395"/>
      <c r="F37" s="395"/>
      <c r="G37" s="395"/>
    </row>
    <row r="38" spans="1:7" x14ac:dyDescent="0.2">
      <c r="A38" s="395"/>
      <c r="B38" s="395"/>
      <c r="C38" s="395"/>
      <c r="D38" s="395"/>
      <c r="E38" s="395"/>
      <c r="F38" s="395"/>
      <c r="G38" s="395"/>
    </row>
    <row r="39" spans="1:7" x14ac:dyDescent="0.2">
      <c r="A39" s="395"/>
      <c r="B39" s="395"/>
      <c r="C39" s="395"/>
      <c r="D39" s="395"/>
      <c r="E39" s="395"/>
      <c r="F39" s="395"/>
      <c r="G39" s="395"/>
    </row>
    <row r="40" spans="1:7" x14ac:dyDescent="0.2">
      <c r="A40" s="277"/>
      <c r="B40" s="277"/>
      <c r="C40" s="277"/>
      <c r="D40" s="277"/>
      <c r="E40" s="277"/>
      <c r="F40" s="277"/>
      <c r="G40" s="277"/>
    </row>
    <row r="41" spans="1:7" ht="12.75" customHeight="1" x14ac:dyDescent="0.2">
      <c r="A41" s="395" t="s">
        <v>348</v>
      </c>
      <c r="B41" s="395"/>
      <c r="C41" s="395"/>
      <c r="D41" s="395"/>
      <c r="E41" s="395"/>
      <c r="F41" s="395"/>
      <c r="G41" s="395"/>
    </row>
    <row r="42" spans="1:7" x14ac:dyDescent="0.2">
      <c r="A42" s="395"/>
      <c r="B42" s="395"/>
      <c r="C42" s="395"/>
      <c r="D42" s="395"/>
      <c r="E42" s="395"/>
      <c r="F42" s="395"/>
      <c r="G42" s="395"/>
    </row>
    <row r="43" spans="1:7" ht="12.75" customHeight="1" x14ac:dyDescent="0.2">
      <c r="A43" s="395"/>
      <c r="B43" s="395"/>
      <c r="C43" s="395"/>
      <c r="D43" s="395"/>
      <c r="E43" s="395"/>
      <c r="F43" s="395"/>
      <c r="G43" s="395"/>
    </row>
    <row r="44" spans="1:7" x14ac:dyDescent="0.2">
      <c r="A44" s="395"/>
      <c r="B44" s="395"/>
      <c r="C44" s="395"/>
      <c r="D44" s="395"/>
      <c r="E44" s="395"/>
      <c r="F44" s="395"/>
      <c r="G44" s="395"/>
    </row>
    <row r="45" spans="1:7" x14ac:dyDescent="0.2">
      <c r="A45" s="281"/>
      <c r="B45" s="281"/>
      <c r="C45" s="281"/>
      <c r="D45" s="281"/>
      <c r="E45" s="281"/>
      <c r="F45" s="20"/>
      <c r="G45" s="20"/>
    </row>
    <row r="46" spans="1:7" ht="12.75" customHeight="1" x14ac:dyDescent="0.2">
      <c r="A46" s="395" t="s">
        <v>392</v>
      </c>
      <c r="B46" s="395"/>
      <c r="C46" s="395"/>
      <c r="D46" s="395"/>
      <c r="E46" s="395"/>
      <c r="F46" s="395"/>
      <c r="G46" s="395"/>
    </row>
    <row r="47" spans="1:7" x14ac:dyDescent="0.2">
      <c r="A47" s="395"/>
      <c r="B47" s="395"/>
      <c r="C47" s="395"/>
      <c r="D47" s="395"/>
      <c r="E47" s="395"/>
      <c r="F47" s="395"/>
      <c r="G47" s="395"/>
    </row>
    <row r="48" spans="1:7" x14ac:dyDescent="0.2">
      <c r="A48" s="395"/>
      <c r="B48" s="395"/>
      <c r="C48" s="395"/>
      <c r="D48" s="395"/>
      <c r="E48" s="395"/>
      <c r="F48" s="395"/>
      <c r="G48" s="395"/>
    </row>
    <row r="49" spans="1:7" ht="12.75" customHeight="1" x14ac:dyDescent="0.2">
      <c r="A49" s="277"/>
      <c r="B49" s="277"/>
      <c r="C49" s="277"/>
      <c r="D49" s="277"/>
      <c r="E49" s="277"/>
      <c r="F49" s="277"/>
      <c r="G49" s="277"/>
    </row>
    <row r="50" spans="1:7" x14ac:dyDescent="0.2">
      <c r="A50" s="395" t="s">
        <v>349</v>
      </c>
      <c r="B50" s="395"/>
      <c r="C50" s="395"/>
      <c r="D50" s="395"/>
      <c r="E50" s="395"/>
      <c r="F50" s="395"/>
      <c r="G50" s="395"/>
    </row>
    <row r="51" spans="1:7" x14ac:dyDescent="0.2">
      <c r="A51" s="395"/>
      <c r="B51" s="395"/>
      <c r="C51" s="395"/>
      <c r="D51" s="395"/>
      <c r="E51" s="395"/>
      <c r="F51" s="395"/>
      <c r="G51" s="395"/>
    </row>
    <row r="52" spans="1:7" x14ac:dyDescent="0.2">
      <c r="A52" s="281"/>
      <c r="B52" s="281"/>
      <c r="C52" s="281"/>
      <c r="D52" s="281"/>
      <c r="E52" s="281"/>
      <c r="F52" s="281"/>
      <c r="G52" s="281"/>
    </row>
    <row r="53" spans="1:7" x14ac:dyDescent="0.2">
      <c r="A53" s="397" t="s">
        <v>393</v>
      </c>
      <c r="B53" s="397"/>
      <c r="C53" s="397"/>
      <c r="D53" s="397"/>
      <c r="E53" s="397"/>
      <c r="F53" s="397"/>
      <c r="G53" s="397"/>
    </row>
    <row r="54" spans="1:7" x14ac:dyDescent="0.2">
      <c r="A54" s="397"/>
      <c r="B54" s="397"/>
      <c r="C54" s="397"/>
      <c r="D54" s="397"/>
      <c r="E54" s="397"/>
      <c r="F54" s="397"/>
      <c r="G54" s="397"/>
    </row>
    <row r="55" spans="1:7" x14ac:dyDescent="0.2">
      <c r="A55" s="20"/>
      <c r="B55" s="20"/>
      <c r="C55" s="20"/>
      <c r="D55" s="20"/>
      <c r="E55" s="20"/>
      <c r="F55" s="20"/>
      <c r="G55" s="20"/>
    </row>
    <row r="56" spans="1:7" ht="12.75" customHeight="1" x14ac:dyDescent="0.2">
      <c r="A56" s="395" t="s">
        <v>395</v>
      </c>
      <c r="B56" s="395"/>
      <c r="C56" s="395"/>
      <c r="D56" s="395"/>
      <c r="E56" s="395"/>
      <c r="F56" s="395"/>
      <c r="G56" s="395"/>
    </row>
    <row r="57" spans="1:7" x14ac:dyDescent="0.2">
      <c r="A57" s="395"/>
      <c r="B57" s="395"/>
      <c r="C57" s="395"/>
      <c r="D57" s="395"/>
      <c r="E57" s="395"/>
      <c r="F57" s="395"/>
      <c r="G57" s="395"/>
    </row>
    <row r="58" spans="1:7" x14ac:dyDescent="0.2">
      <c r="A58" s="395"/>
      <c r="B58" s="395"/>
      <c r="C58" s="395"/>
      <c r="D58" s="395"/>
      <c r="E58" s="395"/>
      <c r="F58" s="395"/>
      <c r="G58" s="395"/>
    </row>
    <row r="59" spans="1:7" x14ac:dyDescent="0.2">
      <c r="A59" s="395"/>
      <c r="B59" s="395"/>
      <c r="C59" s="395"/>
      <c r="D59" s="395"/>
      <c r="E59" s="395"/>
      <c r="F59" s="395"/>
      <c r="G59" s="395"/>
    </row>
    <row r="60" spans="1:7" x14ac:dyDescent="0.2">
      <c r="A60" s="395"/>
      <c r="B60" s="395"/>
      <c r="C60" s="395"/>
      <c r="D60" s="395"/>
      <c r="E60" s="395"/>
      <c r="F60" s="395"/>
      <c r="G60" s="395"/>
    </row>
    <row r="61" spans="1:7" x14ac:dyDescent="0.2">
      <c r="A61" s="277"/>
      <c r="B61" s="277"/>
      <c r="C61" s="277"/>
      <c r="D61" s="277"/>
      <c r="E61" s="277"/>
      <c r="F61" s="277"/>
      <c r="G61" s="277"/>
    </row>
    <row r="62" spans="1:7" ht="12.75" customHeight="1" x14ac:dyDescent="0.2">
      <c r="A62" s="394" t="s">
        <v>394</v>
      </c>
      <c r="B62" s="394"/>
      <c r="C62" s="394"/>
      <c r="D62" s="394"/>
      <c r="E62" s="394"/>
      <c r="F62" s="394"/>
      <c r="G62" s="394"/>
    </row>
    <row r="63" spans="1:7" x14ac:dyDescent="0.2">
      <c r="A63" s="394"/>
      <c r="B63" s="394"/>
      <c r="C63" s="394"/>
      <c r="D63" s="394"/>
      <c r="E63" s="394"/>
      <c r="F63" s="394"/>
      <c r="G63" s="394"/>
    </row>
    <row r="64" spans="1:7" x14ac:dyDescent="0.2">
      <c r="A64" s="276"/>
      <c r="B64" s="276"/>
      <c r="C64" s="276"/>
      <c r="D64" s="276"/>
      <c r="E64" s="276"/>
      <c r="F64" s="276"/>
      <c r="G64" s="276"/>
    </row>
    <row r="65" spans="1:7" x14ac:dyDescent="0.2">
      <c r="A65" s="276"/>
      <c r="B65" s="276"/>
      <c r="C65" s="276"/>
      <c r="D65" s="276"/>
      <c r="E65" s="276"/>
      <c r="F65" s="276"/>
      <c r="G65" s="276"/>
    </row>
  </sheetData>
  <mergeCells count="8">
    <mergeCell ref="A56:G60"/>
    <mergeCell ref="A62:G63"/>
    <mergeCell ref="A12:G14"/>
    <mergeCell ref="A37:G39"/>
    <mergeCell ref="A41:G44"/>
    <mergeCell ref="A46:G48"/>
    <mergeCell ref="A50:G51"/>
    <mergeCell ref="A53:G54"/>
  </mergeCells>
  <pageMargins left="0.70866141732283472" right="0.70866141732283472" top="0.74803149606299213" bottom="0.74803149606299213" header="0.31496062992125984" footer="0.31496062992125984"/>
  <pageSetup paperSize="9" scale="6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K63"/>
  <sheetViews>
    <sheetView workbookViewId="0">
      <selection activeCell="D20" sqref="D20"/>
    </sheetView>
  </sheetViews>
  <sheetFormatPr defaultRowHeight="12.75" x14ac:dyDescent="0.2"/>
  <cols>
    <col min="1" max="1" width="42.42578125" customWidth="1"/>
    <col min="2" max="2" width="17.85546875" customWidth="1"/>
    <col min="3" max="3" width="40.7109375" customWidth="1"/>
    <col min="4" max="5" width="17.85546875" customWidth="1"/>
    <col min="6" max="6" width="22.140625" customWidth="1"/>
    <col min="7" max="7" width="14" customWidth="1"/>
    <col min="8" max="8" width="13.85546875" bestFit="1" customWidth="1"/>
    <col min="9" max="9" width="14.28515625" customWidth="1"/>
    <col min="11" max="11" width="10.140625" customWidth="1"/>
  </cols>
  <sheetData>
    <row r="2" spans="1:8" x14ac:dyDescent="0.2">
      <c r="A2" s="45" t="s">
        <v>90</v>
      </c>
      <c r="B2" s="2"/>
    </row>
    <row r="3" spans="1:8" x14ac:dyDescent="0.2">
      <c r="A3" s="2"/>
      <c r="B3" s="2"/>
    </row>
    <row r="4" spans="1:8" x14ac:dyDescent="0.2">
      <c r="A4" s="45" t="s">
        <v>374</v>
      </c>
      <c r="B4" s="2"/>
    </row>
    <row r="6" spans="1:8" ht="25.5" x14ac:dyDescent="0.2">
      <c r="A6" s="3" t="s">
        <v>1</v>
      </c>
      <c r="B6" s="3"/>
      <c r="C6" s="4" t="s">
        <v>2</v>
      </c>
      <c r="D6" s="5"/>
    </row>
    <row r="7" spans="1:8" x14ac:dyDescent="0.2">
      <c r="A7" s="68" t="s">
        <v>3</v>
      </c>
      <c r="B7" s="69">
        <v>365289</v>
      </c>
      <c r="C7" s="70" t="s">
        <v>4</v>
      </c>
      <c r="D7" s="71">
        <v>21472</v>
      </c>
    </row>
    <row r="8" spans="1:8" x14ac:dyDescent="0.2">
      <c r="A8" s="68" t="s">
        <v>5</v>
      </c>
      <c r="B8" s="69">
        <v>25496</v>
      </c>
      <c r="C8" s="72" t="s">
        <v>6</v>
      </c>
      <c r="D8" s="71">
        <v>62440</v>
      </c>
      <c r="F8" s="2" t="s">
        <v>7</v>
      </c>
    </row>
    <row r="9" spans="1:8" x14ac:dyDescent="0.2">
      <c r="A9" s="68" t="s">
        <v>8</v>
      </c>
      <c r="B9" s="69">
        <v>34683</v>
      </c>
      <c r="C9" s="72" t="s">
        <v>9</v>
      </c>
      <c r="D9" s="71">
        <v>35212.360655737706</v>
      </c>
      <c r="F9" s="2" t="s">
        <v>10</v>
      </c>
      <c r="G9" s="279">
        <v>30</v>
      </c>
    </row>
    <row r="10" spans="1:8" x14ac:dyDescent="0.2">
      <c r="A10" s="68" t="s">
        <v>11</v>
      </c>
      <c r="B10" s="69">
        <v>50828</v>
      </c>
      <c r="C10" s="72" t="s">
        <v>12</v>
      </c>
      <c r="D10" s="71">
        <v>4000</v>
      </c>
      <c r="F10" s="2" t="s">
        <v>13</v>
      </c>
      <c r="G10" s="279">
        <v>30</v>
      </c>
    </row>
    <row r="11" spans="1:8" x14ac:dyDescent="0.2">
      <c r="A11" s="68" t="s">
        <v>14</v>
      </c>
      <c r="B11" s="69">
        <v>38676</v>
      </c>
      <c r="C11" s="72" t="s">
        <v>15</v>
      </c>
      <c r="D11" s="71">
        <v>4000</v>
      </c>
      <c r="F11" s="2" t="s">
        <v>16</v>
      </c>
      <c r="G11" s="279">
        <v>30</v>
      </c>
    </row>
    <row r="12" spans="1:8" x14ac:dyDescent="0.2">
      <c r="A12" s="68" t="s">
        <v>17</v>
      </c>
      <c r="B12" s="69">
        <v>1271</v>
      </c>
      <c r="C12" s="72" t="s">
        <v>18</v>
      </c>
      <c r="D12" s="71">
        <v>15456</v>
      </c>
      <c r="F12" s="2" t="s">
        <v>19</v>
      </c>
      <c r="G12" s="279">
        <v>20</v>
      </c>
    </row>
    <row r="13" spans="1:8" ht="13.5" thickBot="1" x14ac:dyDescent="0.25">
      <c r="A13" s="68" t="s">
        <v>20</v>
      </c>
      <c r="B13" s="69">
        <v>61872</v>
      </c>
      <c r="C13" s="72" t="s">
        <v>21</v>
      </c>
      <c r="D13" s="71">
        <v>13000</v>
      </c>
      <c r="G13" s="8">
        <f>SUM(G9:G12)</f>
        <v>110</v>
      </c>
    </row>
    <row r="14" spans="1:8" x14ac:dyDescent="0.2">
      <c r="A14" s="68" t="s">
        <v>22</v>
      </c>
      <c r="B14" s="69">
        <v>17462</v>
      </c>
      <c r="C14" s="72" t="s">
        <v>23</v>
      </c>
      <c r="D14" s="71">
        <v>10000</v>
      </c>
    </row>
    <row r="15" spans="1:8" x14ac:dyDescent="0.2">
      <c r="A15" s="68" t="s">
        <v>24</v>
      </c>
      <c r="B15" s="69">
        <v>16371</v>
      </c>
      <c r="C15" s="72" t="s">
        <v>25</v>
      </c>
      <c r="D15" s="71">
        <v>1000</v>
      </c>
      <c r="F15" s="10" t="s">
        <v>26</v>
      </c>
      <c r="G15" s="11">
        <f>SUM('LTLC Budget 201617'!B16)</f>
        <v>12431.498557692306</v>
      </c>
      <c r="H15" s="12" t="s">
        <v>27</v>
      </c>
    </row>
    <row r="16" spans="1:8" x14ac:dyDescent="0.2">
      <c r="A16" s="73"/>
      <c r="B16" s="73"/>
      <c r="C16" s="72" t="s">
        <v>28</v>
      </c>
      <c r="D16" s="71">
        <v>20000</v>
      </c>
      <c r="F16" s="12" t="s">
        <v>29</v>
      </c>
      <c r="G16" s="10"/>
      <c r="H16" s="10"/>
    </row>
    <row r="17" spans="1:6" x14ac:dyDescent="0.2">
      <c r="A17" s="73"/>
      <c r="B17" s="73"/>
      <c r="C17" s="72" t="s">
        <v>30</v>
      </c>
      <c r="D17" s="71">
        <v>12000</v>
      </c>
    </row>
    <row r="18" spans="1:6" x14ac:dyDescent="0.2">
      <c r="A18" s="73"/>
      <c r="B18" s="73"/>
      <c r="C18" s="70" t="s">
        <v>31</v>
      </c>
      <c r="D18" s="71">
        <v>3320</v>
      </c>
    </row>
    <row r="19" spans="1:6" x14ac:dyDescent="0.2">
      <c r="A19" s="73"/>
      <c r="B19" s="73"/>
      <c r="C19" s="74" t="s">
        <v>32</v>
      </c>
      <c r="D19" s="71">
        <v>35000</v>
      </c>
    </row>
    <row r="20" spans="1:6" x14ac:dyDescent="0.2">
      <c r="A20" s="73"/>
      <c r="B20" s="73"/>
      <c r="C20" s="74" t="s">
        <v>33</v>
      </c>
      <c r="D20" s="75">
        <f>4108.36+2662+4752+4791.6+25844</f>
        <v>42157.96</v>
      </c>
    </row>
    <row r="23" spans="1:6" x14ac:dyDescent="0.2">
      <c r="A23" s="18" t="s">
        <v>375</v>
      </c>
      <c r="D23" s="2" t="s">
        <v>7</v>
      </c>
    </row>
    <row r="24" spans="1:6" x14ac:dyDescent="0.2">
      <c r="A24" s="18"/>
      <c r="D24" s="2" t="s">
        <v>10</v>
      </c>
      <c r="E24" s="279">
        <v>30</v>
      </c>
    </row>
    <row r="25" spans="1:6" x14ac:dyDescent="0.2">
      <c r="A25" s="2" t="s">
        <v>34</v>
      </c>
      <c r="B25" s="13">
        <f>SUM(B7:B15)</f>
        <v>611948</v>
      </c>
      <c r="D25" s="2" t="s">
        <v>13</v>
      </c>
      <c r="E25" s="279">
        <v>30</v>
      </c>
    </row>
    <row r="26" spans="1:6" x14ac:dyDescent="0.2">
      <c r="A26" s="2" t="s">
        <v>35</v>
      </c>
      <c r="B26" s="13">
        <f>SUM(D7:D19)</f>
        <v>236900.36065573769</v>
      </c>
      <c r="D26" s="2" t="s">
        <v>16</v>
      </c>
      <c r="E26" s="279">
        <v>30</v>
      </c>
    </row>
    <row r="27" spans="1:6" x14ac:dyDescent="0.2">
      <c r="A27" s="2" t="s">
        <v>36</v>
      </c>
      <c r="B27" s="13">
        <f>G13*G15</f>
        <v>1367464.8413461538</v>
      </c>
      <c r="D27" s="2" t="s">
        <v>19</v>
      </c>
      <c r="E27" s="15">
        <v>20</v>
      </c>
      <c r="F27" s="2" t="s">
        <v>38</v>
      </c>
    </row>
    <row r="28" spans="1:6" ht="13.5" thickBot="1" x14ac:dyDescent="0.25">
      <c r="A28" s="2" t="s">
        <v>33</v>
      </c>
      <c r="B28" s="13">
        <f>D20</f>
        <v>42157.96</v>
      </c>
      <c r="E28" s="16">
        <f>SUM(E24:E27)</f>
        <v>110</v>
      </c>
    </row>
    <row r="29" spans="1:6" ht="13.5" thickBot="1" x14ac:dyDescent="0.25">
      <c r="B29" s="14">
        <f>SUM(B25:B28)</f>
        <v>2258471.1620018915</v>
      </c>
      <c r="C29" s="2" t="s">
        <v>58</v>
      </c>
      <c r="E29" s="17">
        <f>E28*65%</f>
        <v>71.5</v>
      </c>
      <c r="F29" s="2" t="s">
        <v>39</v>
      </c>
    </row>
    <row r="30" spans="1:6" x14ac:dyDescent="0.2">
      <c r="B30" s="24"/>
      <c r="C30" s="2"/>
      <c r="E30" s="17"/>
      <c r="F30" s="2"/>
    </row>
    <row r="31" spans="1:6" x14ac:dyDescent="0.2">
      <c r="A31" t="s">
        <v>376</v>
      </c>
      <c r="B31" s="233">
        <v>10000</v>
      </c>
      <c r="C31" s="225">
        <f>(B31*E28)*5/12</f>
        <v>458333.33333333331</v>
      </c>
      <c r="E31" s="17"/>
      <c r="F31" s="2"/>
    </row>
    <row r="32" spans="1:6" x14ac:dyDescent="0.2">
      <c r="A32" t="s">
        <v>377</v>
      </c>
      <c r="B32" s="233">
        <v>10000</v>
      </c>
      <c r="C32" s="225">
        <f>(B32*E28)*7/12</f>
        <v>641666.66666666663</v>
      </c>
      <c r="E32" s="17"/>
      <c r="F32" s="2"/>
    </row>
    <row r="33" spans="1:11" x14ac:dyDescent="0.2">
      <c r="A33" t="s">
        <v>158</v>
      </c>
      <c r="B33" s="24"/>
      <c r="C33" s="232">
        <f>SUM(C31:C32)</f>
        <v>1100000</v>
      </c>
      <c r="E33" s="24"/>
      <c r="F33" s="45"/>
    </row>
    <row r="34" spans="1:11" x14ac:dyDescent="0.2">
      <c r="B34" s="24"/>
      <c r="C34" s="133"/>
      <c r="D34" s="380" t="s">
        <v>202</v>
      </c>
      <c r="E34" s="380"/>
      <c r="F34" s="381" t="s">
        <v>203</v>
      </c>
      <c r="G34" s="382"/>
    </row>
    <row r="35" spans="1:11" x14ac:dyDescent="0.2">
      <c r="B35" s="24"/>
      <c r="C35" s="133"/>
      <c r="D35" s="378" t="s">
        <v>200</v>
      </c>
      <c r="E35" s="379" t="s">
        <v>211</v>
      </c>
      <c r="F35" s="383" t="s">
        <v>200</v>
      </c>
      <c r="G35" s="379" t="s">
        <v>211</v>
      </c>
    </row>
    <row r="36" spans="1:11" x14ac:dyDescent="0.2">
      <c r="B36" s="24" t="s">
        <v>167</v>
      </c>
      <c r="C36" s="279" t="s">
        <v>168</v>
      </c>
      <c r="D36" s="378"/>
      <c r="E36" s="379"/>
      <c r="F36" s="383"/>
      <c r="G36" s="379"/>
    </row>
    <row r="37" spans="1:11" x14ac:dyDescent="0.2">
      <c r="A37" t="s">
        <v>378</v>
      </c>
      <c r="B37" s="24">
        <f>B29*(5/12)</f>
        <v>941029.65083412151</v>
      </c>
      <c r="C37" s="13">
        <f>B37-C31</f>
        <v>482696.31750078819</v>
      </c>
      <c r="D37" s="125">
        <f>C37/E29</f>
        <v>6750.9974475634708</v>
      </c>
      <c r="E37" s="217">
        <f>D37/5*12</f>
        <v>16202.393874152329</v>
      </c>
      <c r="F37" s="185">
        <f>C37/110</f>
        <v>4388.1483409162565</v>
      </c>
      <c r="G37" s="13">
        <f>F37/5*12</f>
        <v>10531.556018199015</v>
      </c>
      <c r="H37" s="13"/>
    </row>
    <row r="38" spans="1:11" x14ac:dyDescent="0.2">
      <c r="A38" t="s">
        <v>379</v>
      </c>
      <c r="B38" s="24">
        <f>B29*(7/12)</f>
        <v>1317441.5111677703</v>
      </c>
      <c r="C38" s="13">
        <f>B38-C32</f>
        <v>675774.84450110362</v>
      </c>
      <c r="D38" s="125">
        <f>C38/E29</f>
        <v>9451.3964265888626</v>
      </c>
      <c r="E38" s="13">
        <f>D38/7*12</f>
        <v>16202.393874152338</v>
      </c>
      <c r="F38" s="185">
        <f>C38/110</f>
        <v>6143.4076772827602</v>
      </c>
      <c r="G38" s="13">
        <f>F38/7*12</f>
        <v>10531.556018199019</v>
      </c>
      <c r="H38" s="13">
        <f>G37-G38</f>
        <v>0</v>
      </c>
      <c r="I38" s="56"/>
      <c r="J38" s="56"/>
      <c r="K38" s="56"/>
    </row>
    <row r="39" spans="1:11" ht="13.5" thickBot="1" x14ac:dyDescent="0.25">
      <c r="B39" s="14">
        <f>SUM(B37:B38)</f>
        <v>2258471.162001892</v>
      </c>
      <c r="C39" s="234">
        <f>SUM(C37:C38)</f>
        <v>1158471.1620018918</v>
      </c>
      <c r="D39" s="14">
        <f>SUM(D37:D38)</f>
        <v>16202.393874152334</v>
      </c>
      <c r="E39" s="17"/>
      <c r="F39" s="236">
        <f>SUM(F37:F38)</f>
        <v>10531.556018199017</v>
      </c>
      <c r="I39" s="56"/>
      <c r="J39" s="56"/>
      <c r="K39" s="56"/>
    </row>
    <row r="40" spans="1:11" x14ac:dyDescent="0.2">
      <c r="C40" s="279"/>
      <c r="D40" s="235" t="s">
        <v>155</v>
      </c>
      <c r="F40" s="235" t="s">
        <v>155</v>
      </c>
    </row>
    <row r="41" spans="1:11" x14ac:dyDescent="0.2">
      <c r="B41" t="s">
        <v>287</v>
      </c>
      <c r="C41" s="217">
        <f>C39/E29</f>
        <v>16202.393874152333</v>
      </c>
    </row>
    <row r="42" spans="1:11" x14ac:dyDescent="0.2">
      <c r="C42" s="235" t="s">
        <v>155</v>
      </c>
    </row>
    <row r="43" spans="1:11" x14ac:dyDescent="0.2">
      <c r="D43" s="134" t="s">
        <v>73</v>
      </c>
      <c r="E43" s="134" t="s">
        <v>161</v>
      </c>
      <c r="F43" s="135" t="s">
        <v>164</v>
      </c>
    </row>
    <row r="44" spans="1:11" x14ac:dyDescent="0.2">
      <c r="D44" s="136">
        <v>110</v>
      </c>
      <c r="E44" s="137">
        <f>B31*(5/12)</f>
        <v>4166.666666666667</v>
      </c>
      <c r="F44" s="237">
        <f>D44*E44</f>
        <v>458333.33333333337</v>
      </c>
    </row>
    <row r="45" spans="1:11" x14ac:dyDescent="0.2">
      <c r="D45" s="136">
        <v>110</v>
      </c>
      <c r="E45" s="137">
        <f>B32*(7/12)</f>
        <v>5833.3333333333339</v>
      </c>
      <c r="F45" s="237">
        <f>D45*E45</f>
        <v>641666.66666666674</v>
      </c>
    </row>
    <row r="46" spans="1:11" x14ac:dyDescent="0.2">
      <c r="D46" s="136"/>
      <c r="E46" s="138">
        <f>SUM(E44:E45)</f>
        <v>10000</v>
      </c>
      <c r="F46" s="138">
        <f>SUM(F44:F45)</f>
        <v>1100000</v>
      </c>
      <c r="G46" s="227" t="s">
        <v>155</v>
      </c>
    </row>
    <row r="47" spans="1:11" ht="13.5" thickBot="1" x14ac:dyDescent="0.25"/>
    <row r="48" spans="1:11" ht="13.5" thickBot="1" x14ac:dyDescent="0.25">
      <c r="A48" s="140" t="s">
        <v>380</v>
      </c>
      <c r="B48" s="139"/>
      <c r="C48" s="141">
        <f>E37</f>
        <v>16202.393874152329</v>
      </c>
    </row>
    <row r="49" spans="1:7" ht="13.5" thickBot="1" x14ac:dyDescent="0.25">
      <c r="A49" s="140" t="s">
        <v>381</v>
      </c>
      <c r="B49" s="139"/>
      <c r="C49" s="141">
        <f>E38</f>
        <v>16202.393874152338</v>
      </c>
    </row>
    <row r="51" spans="1:7" x14ac:dyDescent="0.2">
      <c r="C51" s="1"/>
      <c r="D51" s="127" t="s">
        <v>159</v>
      </c>
      <c r="E51" s="127" t="s">
        <v>64</v>
      </c>
      <c r="F51" s="128" t="s">
        <v>160</v>
      </c>
    </row>
    <row r="52" spans="1:7" x14ac:dyDescent="0.2">
      <c r="D52" s="129">
        <v>71.5</v>
      </c>
      <c r="E52" s="130">
        <f>SUM(D37)</f>
        <v>6750.9974475634708</v>
      </c>
      <c r="F52" s="184">
        <f>SUM(D52*E52)</f>
        <v>482696.31750078814</v>
      </c>
    </row>
    <row r="53" spans="1:7" x14ac:dyDescent="0.2">
      <c r="D53" s="129">
        <v>71.5</v>
      </c>
      <c r="E53" s="130">
        <f>SUM(D38)</f>
        <v>9451.3964265888626</v>
      </c>
      <c r="F53" s="184">
        <f>SUM(D53*E53)</f>
        <v>675774.84450110362</v>
      </c>
    </row>
    <row r="54" spans="1:7" x14ac:dyDescent="0.2">
      <c r="D54" s="127"/>
      <c r="E54" s="132">
        <f>SUM(E52:E53)</f>
        <v>16202.393874152334</v>
      </c>
      <c r="F54" s="132">
        <f>SUM(F52:F53)</f>
        <v>1158471.1620018918</v>
      </c>
      <c r="G54" t="s">
        <v>155</v>
      </c>
    </row>
    <row r="55" spans="1:7" x14ac:dyDescent="0.2">
      <c r="D55" s="127"/>
      <c r="E55" s="131"/>
      <c r="F55" s="131"/>
    </row>
    <row r="56" spans="1:7" x14ac:dyDescent="0.2">
      <c r="D56" s="127" t="s">
        <v>159</v>
      </c>
      <c r="E56" s="127" t="s">
        <v>64</v>
      </c>
      <c r="F56" s="127" t="s">
        <v>160</v>
      </c>
    </row>
    <row r="57" spans="1:7" x14ac:dyDescent="0.2">
      <c r="D57" s="127">
        <v>38.5</v>
      </c>
      <c r="E57" s="131">
        <v>0</v>
      </c>
      <c r="F57" s="131">
        <v>0</v>
      </c>
    </row>
    <row r="58" spans="1:7" x14ac:dyDescent="0.2">
      <c r="D58" s="127">
        <v>38.5</v>
      </c>
      <c r="E58" s="131">
        <v>0</v>
      </c>
      <c r="F58" s="131">
        <v>0</v>
      </c>
    </row>
    <row r="59" spans="1:7" x14ac:dyDescent="0.2">
      <c r="D59" s="127"/>
      <c r="E59" s="132">
        <v>0</v>
      </c>
      <c r="F59" s="132">
        <v>0</v>
      </c>
      <c r="G59" t="s">
        <v>155</v>
      </c>
    </row>
    <row r="60" spans="1:7" x14ac:dyDescent="0.2">
      <c r="D60" s="127"/>
      <c r="E60" s="131"/>
      <c r="F60" s="131"/>
    </row>
    <row r="62" spans="1:7" ht="13.5" thickBot="1" x14ac:dyDescent="0.25">
      <c r="C62" s="143"/>
      <c r="D62" s="145" t="s">
        <v>382</v>
      </c>
      <c r="E62" s="144"/>
      <c r="F62" s="142">
        <f>F46+F54+F59</f>
        <v>2258471.162001892</v>
      </c>
      <c r="G62" t="s">
        <v>155</v>
      </c>
    </row>
    <row r="63" spans="1:7" ht="13.5" thickTop="1" x14ac:dyDescent="0.2"/>
  </sheetData>
  <mergeCells count="6">
    <mergeCell ref="D34:E34"/>
    <mergeCell ref="F34:G34"/>
    <mergeCell ref="D35:D36"/>
    <mergeCell ref="E35:E36"/>
    <mergeCell ref="F35:F36"/>
    <mergeCell ref="G35:G3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65"/>
  <sheetViews>
    <sheetView workbookViewId="0">
      <selection activeCell="P42" sqref="P42"/>
    </sheetView>
  </sheetViews>
  <sheetFormatPr defaultRowHeight="12.75" x14ac:dyDescent="0.2"/>
  <cols>
    <col min="1" max="1" width="41.42578125" customWidth="1"/>
    <col min="2" max="2" width="14" customWidth="1"/>
    <col min="4" max="4" width="10" customWidth="1"/>
    <col min="5" max="5" width="9.85546875" customWidth="1"/>
    <col min="6" max="6" width="12.7109375" bestFit="1" customWidth="1"/>
    <col min="8" max="8" width="12.42578125" customWidth="1"/>
    <col min="10" max="10" width="12.7109375" bestFit="1" customWidth="1"/>
    <col min="14" max="14" width="10.140625" bestFit="1" customWidth="1"/>
  </cols>
  <sheetData>
    <row r="1" spans="1:8" x14ac:dyDescent="0.2">
      <c r="A1" s="25" t="s">
        <v>59</v>
      </c>
      <c r="B1" s="26"/>
      <c r="C1" s="26"/>
      <c r="D1" s="26"/>
      <c r="E1" s="27"/>
      <c r="F1" s="27"/>
      <c r="G1" s="27"/>
      <c r="H1" s="27"/>
    </row>
    <row r="2" spans="1:8" x14ac:dyDescent="0.2">
      <c r="A2" s="25"/>
      <c r="B2" s="26"/>
      <c r="C2" s="26"/>
      <c r="D2" s="26"/>
      <c r="E2" s="27"/>
      <c r="F2" s="27"/>
      <c r="G2" s="27"/>
      <c r="H2" s="27"/>
    </row>
    <row r="3" spans="1:8" x14ac:dyDescent="0.2">
      <c r="A3" s="112" t="s">
        <v>105</v>
      </c>
      <c r="B3" s="112" t="s">
        <v>106</v>
      </c>
      <c r="C3" s="112" t="s">
        <v>107</v>
      </c>
      <c r="D3" s="112" t="s">
        <v>108</v>
      </c>
      <c r="E3" s="95" t="s">
        <v>109</v>
      </c>
      <c r="F3" s="95" t="s">
        <v>110</v>
      </c>
      <c r="G3" s="95" t="s">
        <v>111</v>
      </c>
      <c r="H3" s="95" t="s">
        <v>112</v>
      </c>
    </row>
    <row r="4" spans="1:8" x14ac:dyDescent="0.2">
      <c r="A4" s="81" t="s">
        <v>113</v>
      </c>
      <c r="B4" s="81" t="s">
        <v>114</v>
      </c>
      <c r="C4" s="81">
        <v>32.5</v>
      </c>
      <c r="D4" s="81">
        <v>0.2</v>
      </c>
      <c r="E4" s="82">
        <f>(71701*0.2)</f>
        <v>14340.2</v>
      </c>
      <c r="F4" s="82">
        <f>(7664*0.2)</f>
        <v>1532.8000000000002</v>
      </c>
      <c r="G4" s="82">
        <f>(10110*0.2)</f>
        <v>2022</v>
      </c>
      <c r="H4" s="83">
        <f>SUM(E4:G4)</f>
        <v>17895</v>
      </c>
    </row>
    <row r="5" spans="1:8" x14ac:dyDescent="0.2">
      <c r="A5" s="84" t="s">
        <v>115</v>
      </c>
      <c r="B5" s="85" t="s">
        <v>116</v>
      </c>
      <c r="C5" s="84">
        <v>32.5</v>
      </c>
      <c r="D5" s="84">
        <v>1</v>
      </c>
      <c r="E5" s="86">
        <v>41756</v>
      </c>
      <c r="F5" s="86">
        <v>3532</v>
      </c>
      <c r="G5" s="86">
        <v>5888</v>
      </c>
      <c r="H5" s="87">
        <f t="shared" ref="H5:H15" si="0">SUM(E5:G5)</f>
        <v>51176</v>
      </c>
    </row>
    <row r="6" spans="1:8" x14ac:dyDescent="0.2">
      <c r="A6" s="88" t="s">
        <v>117</v>
      </c>
      <c r="B6" s="89" t="s">
        <v>118</v>
      </c>
      <c r="C6" s="90"/>
      <c r="D6" s="90"/>
      <c r="E6" s="91"/>
      <c r="F6" s="91"/>
      <c r="G6" s="86"/>
      <c r="H6" s="80">
        <f>(1110*1.2)</f>
        <v>1332</v>
      </c>
    </row>
    <row r="7" spans="1:8" x14ac:dyDescent="0.2">
      <c r="A7" s="92" t="s">
        <v>119</v>
      </c>
      <c r="B7" s="93"/>
      <c r="C7" s="93"/>
      <c r="D7" s="93"/>
      <c r="E7" s="94">
        <f>SUM(E5:E6)</f>
        <v>41756</v>
      </c>
      <c r="F7" s="94">
        <f>SUM(F5:F6)</f>
        <v>3532</v>
      </c>
      <c r="G7" s="94">
        <f>SUM(G5:G6)</f>
        <v>5888</v>
      </c>
      <c r="H7" s="95">
        <f>SUM(H4:H6)</f>
        <v>70403</v>
      </c>
    </row>
    <row r="8" spans="1:8" x14ac:dyDescent="0.2">
      <c r="A8" s="85" t="s">
        <v>120</v>
      </c>
      <c r="B8" s="96"/>
      <c r="C8" s="96"/>
      <c r="D8" s="96"/>
      <c r="E8" s="97"/>
      <c r="F8" s="97"/>
      <c r="G8" s="97"/>
      <c r="H8" s="87">
        <v>35000</v>
      </c>
    </row>
    <row r="9" spans="1:8" x14ac:dyDescent="0.2">
      <c r="A9" s="84" t="s">
        <v>121</v>
      </c>
      <c r="B9" s="85" t="s">
        <v>122</v>
      </c>
      <c r="C9" s="84">
        <v>37</v>
      </c>
      <c r="D9" s="84">
        <v>0.84699999999999998</v>
      </c>
      <c r="E9" s="86">
        <v>26278</v>
      </c>
      <c r="F9" s="86">
        <v>1864</v>
      </c>
      <c r="G9" s="86">
        <v>4967</v>
      </c>
      <c r="H9" s="87">
        <f t="shared" si="0"/>
        <v>33109</v>
      </c>
    </row>
    <row r="10" spans="1:8" x14ac:dyDescent="0.2">
      <c r="A10" s="84" t="s">
        <v>123</v>
      </c>
      <c r="B10" s="85" t="s">
        <v>124</v>
      </c>
      <c r="C10" s="84">
        <v>37</v>
      </c>
      <c r="D10" s="84">
        <v>0.84699999999999998</v>
      </c>
      <c r="E10" s="86">
        <v>19041</v>
      </c>
      <c r="F10" s="86">
        <v>1111</v>
      </c>
      <c r="G10" s="86">
        <v>3599</v>
      </c>
      <c r="H10" s="87">
        <f t="shared" si="0"/>
        <v>23751</v>
      </c>
    </row>
    <row r="11" spans="1:8" x14ac:dyDescent="0.2">
      <c r="A11" s="84" t="s">
        <v>125</v>
      </c>
      <c r="B11" s="85" t="s">
        <v>126</v>
      </c>
      <c r="C11" s="84">
        <v>37</v>
      </c>
      <c r="D11" s="84">
        <v>0.84699999999999998</v>
      </c>
      <c r="E11" s="86">
        <v>23601</v>
      </c>
      <c r="F11" s="86">
        <v>1585</v>
      </c>
      <c r="G11" s="86">
        <v>4461</v>
      </c>
      <c r="H11" s="87">
        <f t="shared" si="0"/>
        <v>29647</v>
      </c>
    </row>
    <row r="12" spans="1:8" x14ac:dyDescent="0.2">
      <c r="A12" s="84" t="s">
        <v>127</v>
      </c>
      <c r="B12" s="85" t="s">
        <v>128</v>
      </c>
      <c r="C12" s="84">
        <v>37</v>
      </c>
      <c r="D12" s="84">
        <v>0.84699999999999998</v>
      </c>
      <c r="E12" s="86">
        <v>17159</v>
      </c>
      <c r="F12" s="86">
        <v>915</v>
      </c>
      <c r="G12" s="86">
        <v>3243</v>
      </c>
      <c r="H12" s="87">
        <f t="shared" si="0"/>
        <v>21317</v>
      </c>
    </row>
    <row r="13" spans="1:8" x14ac:dyDescent="0.2">
      <c r="A13" s="84" t="s">
        <v>129</v>
      </c>
      <c r="B13" s="85" t="s">
        <v>130</v>
      </c>
      <c r="C13" s="84">
        <v>32.5</v>
      </c>
      <c r="D13" s="98">
        <v>0.84699999999999998</v>
      </c>
      <c r="E13" s="99">
        <v>16225</v>
      </c>
      <c r="F13" s="99">
        <v>818</v>
      </c>
      <c r="G13" s="99">
        <v>3067</v>
      </c>
      <c r="H13" s="87">
        <f t="shared" si="0"/>
        <v>20110</v>
      </c>
    </row>
    <row r="14" spans="1:8" x14ac:dyDescent="0.2">
      <c r="A14" s="84" t="s">
        <v>129</v>
      </c>
      <c r="B14" s="85" t="s">
        <v>130</v>
      </c>
      <c r="C14" s="84">
        <v>32.5</v>
      </c>
      <c r="D14" s="98">
        <v>0.84699999999999998</v>
      </c>
      <c r="E14" s="99">
        <v>16225</v>
      </c>
      <c r="F14" s="99">
        <v>818</v>
      </c>
      <c r="G14" s="99">
        <v>3067</v>
      </c>
      <c r="H14" s="87">
        <f t="shared" si="0"/>
        <v>20110</v>
      </c>
    </row>
    <row r="15" spans="1:8" x14ac:dyDescent="0.2">
      <c r="A15" s="84" t="s">
        <v>131</v>
      </c>
      <c r="B15" s="85" t="s">
        <v>132</v>
      </c>
      <c r="C15" s="84">
        <v>37</v>
      </c>
      <c r="D15" s="84">
        <v>0.84699999999999998</v>
      </c>
      <c r="E15" s="86">
        <v>21073</v>
      </c>
      <c r="F15" s="86">
        <v>1322</v>
      </c>
      <c r="G15" s="86">
        <v>3983</v>
      </c>
      <c r="H15" s="87">
        <f t="shared" si="0"/>
        <v>26378</v>
      </c>
    </row>
    <row r="16" spans="1:8" x14ac:dyDescent="0.2">
      <c r="A16" s="100" t="s">
        <v>133</v>
      </c>
      <c r="B16" s="101" t="s">
        <v>134</v>
      </c>
      <c r="C16" s="102"/>
      <c r="D16" s="102"/>
      <c r="E16" s="103"/>
      <c r="F16" s="103"/>
      <c r="G16" s="103"/>
      <c r="H16" s="104">
        <v>830</v>
      </c>
    </row>
    <row r="17" spans="1:14" x14ac:dyDescent="0.2">
      <c r="A17" s="105" t="s">
        <v>135</v>
      </c>
      <c r="B17" s="106" t="s">
        <v>136</v>
      </c>
      <c r="C17" s="107"/>
      <c r="D17" s="107"/>
      <c r="E17" s="108"/>
      <c r="F17" s="108"/>
      <c r="G17" s="108"/>
      <c r="H17" s="109">
        <v>2075</v>
      </c>
    </row>
    <row r="18" spans="1:14" x14ac:dyDescent="0.2">
      <c r="A18" s="78" t="s">
        <v>137</v>
      </c>
      <c r="B18" s="110"/>
      <c r="C18" s="110"/>
      <c r="D18" s="110"/>
      <c r="E18" s="79">
        <f>SUM(E9:E17)</f>
        <v>139602</v>
      </c>
      <c r="F18" s="79">
        <f>SUM(F9:F17)</f>
        <v>8433</v>
      </c>
      <c r="G18" s="79">
        <f>SUM(G9:G17)</f>
        <v>26387</v>
      </c>
      <c r="H18" s="95">
        <f>SUM(H8:H17)</f>
        <v>212327</v>
      </c>
    </row>
    <row r="19" spans="1:14" x14ac:dyDescent="0.2">
      <c r="A19" s="26"/>
      <c r="B19" s="26"/>
      <c r="C19" s="26"/>
      <c r="D19" s="26"/>
      <c r="E19" s="26"/>
      <c r="F19" s="26"/>
      <c r="G19" s="26"/>
      <c r="H19" s="26"/>
    </row>
    <row r="20" spans="1:14" x14ac:dyDescent="0.2">
      <c r="A20" s="26"/>
      <c r="B20" s="26"/>
      <c r="C20" s="26"/>
      <c r="D20" s="26"/>
      <c r="E20" s="26"/>
      <c r="F20" s="26"/>
      <c r="G20" s="26"/>
      <c r="H20" s="111">
        <f>H7+H18</f>
        <v>282730</v>
      </c>
    </row>
    <row r="21" spans="1:14" x14ac:dyDescent="0.2">
      <c r="A21" s="25"/>
      <c r="B21" s="26"/>
      <c r="C21" s="26"/>
      <c r="D21" s="26"/>
      <c r="E21" s="27"/>
      <c r="F21" s="27"/>
      <c r="G21" s="27"/>
      <c r="H21" s="37"/>
    </row>
    <row r="22" spans="1:14" x14ac:dyDescent="0.2">
      <c r="A22" s="25" t="s">
        <v>138</v>
      </c>
      <c r="B22" s="26"/>
      <c r="C22" s="26"/>
      <c r="D22" s="26"/>
      <c r="E22" s="27"/>
      <c r="F22" s="27"/>
      <c r="G22" s="27"/>
      <c r="H22" s="111">
        <v>24800</v>
      </c>
    </row>
    <row r="23" spans="1:14" ht="13.5" thickBot="1" x14ac:dyDescent="0.25">
      <c r="A23" s="25"/>
      <c r="B23" s="26"/>
      <c r="C23" s="26"/>
      <c r="D23" s="26"/>
      <c r="E23" s="27"/>
      <c r="F23" s="27"/>
      <c r="G23" s="27"/>
      <c r="H23" s="27"/>
    </row>
    <row r="24" spans="1:14" ht="13.5" thickBot="1" x14ac:dyDescent="0.25">
      <c r="A24" s="26"/>
      <c r="B24" s="30"/>
      <c r="C24" s="27"/>
      <c r="D24" s="27"/>
      <c r="E24" s="27"/>
      <c r="F24" s="26"/>
      <c r="G24" s="26"/>
      <c r="H24" s="31">
        <f>H20+H22</f>
        <v>307530</v>
      </c>
      <c r="J24" s="13">
        <f>(H24/12)*5</f>
        <v>128137.5</v>
      </c>
      <c r="K24" t="s">
        <v>315</v>
      </c>
    </row>
    <row r="27" spans="1:14" x14ac:dyDescent="0.2">
      <c r="D27" s="378" t="s">
        <v>298</v>
      </c>
      <c r="E27" s="378" t="s">
        <v>299</v>
      </c>
      <c r="F27" s="378" t="s">
        <v>300</v>
      </c>
      <c r="G27" s="380" t="s">
        <v>73</v>
      </c>
      <c r="H27" s="378" t="s">
        <v>300</v>
      </c>
    </row>
    <row r="28" spans="1:14" x14ac:dyDescent="0.2">
      <c r="B28" s="279" t="s">
        <v>296</v>
      </c>
      <c r="C28" s="279" t="s">
        <v>297</v>
      </c>
      <c r="D28" s="378"/>
      <c r="E28" s="378"/>
      <c r="F28" s="378"/>
      <c r="G28" s="380"/>
      <c r="H28" s="378"/>
      <c r="I28" s="279"/>
      <c r="J28" s="13">
        <f>H24</f>
        <v>307530</v>
      </c>
      <c r="K28" t="s">
        <v>311</v>
      </c>
    </row>
    <row r="29" spans="1:14" x14ac:dyDescent="0.2">
      <c r="A29" t="s">
        <v>294</v>
      </c>
      <c r="B29" s="217">
        <v>51.4</v>
      </c>
      <c r="C29" s="279">
        <v>195</v>
      </c>
      <c r="D29" s="13">
        <f>B29*C29</f>
        <v>10023</v>
      </c>
      <c r="E29" s="279">
        <v>69</v>
      </c>
      <c r="F29" s="217">
        <f>E29/C29*D29</f>
        <v>3546.6000000000004</v>
      </c>
      <c r="G29" s="279">
        <v>112</v>
      </c>
      <c r="H29" s="13">
        <f>F29*G29</f>
        <v>397219.20000000007</v>
      </c>
      <c r="I29" s="279"/>
      <c r="J29" s="13">
        <f>D29*G29</f>
        <v>1122576</v>
      </c>
    </row>
    <row r="30" spans="1:14" x14ac:dyDescent="0.2">
      <c r="A30" t="s">
        <v>295</v>
      </c>
      <c r="B30" s="217">
        <v>57.52</v>
      </c>
      <c r="C30" s="279">
        <v>195</v>
      </c>
      <c r="D30" s="13">
        <f>B30*C30</f>
        <v>11216.400000000001</v>
      </c>
      <c r="E30" s="279">
        <v>69</v>
      </c>
      <c r="F30" s="217">
        <f>E30/C30*D30</f>
        <v>3968.8800000000006</v>
      </c>
      <c r="G30" s="279">
        <v>30</v>
      </c>
      <c r="H30" s="13">
        <f>F30*G30</f>
        <v>119066.40000000002</v>
      </c>
      <c r="I30" s="279"/>
      <c r="J30" s="13">
        <f>D30*G30</f>
        <v>336492.00000000006</v>
      </c>
    </row>
    <row r="31" spans="1:14" x14ac:dyDescent="0.2">
      <c r="B31" s="279"/>
      <c r="C31" s="279"/>
      <c r="D31" s="279"/>
      <c r="E31" s="279"/>
      <c r="F31" s="279"/>
      <c r="G31" s="246">
        <f>SUM(G29:G30)</f>
        <v>142</v>
      </c>
      <c r="H31" s="13">
        <f>SUM(H29:H30)</f>
        <v>516285.60000000009</v>
      </c>
      <c r="I31" s="279"/>
      <c r="J31" s="113">
        <f>SUM(J28:J30)</f>
        <v>1766598</v>
      </c>
      <c r="K31" t="s">
        <v>302</v>
      </c>
      <c r="N31" s="253">
        <f>J31/G31</f>
        <v>12440.830985915492</v>
      </c>
    </row>
    <row r="33" spans="1:11" x14ac:dyDescent="0.2">
      <c r="J33" s="217">
        <f>B29*42*195</f>
        <v>420965.99999999994</v>
      </c>
      <c r="K33" t="s">
        <v>301</v>
      </c>
    </row>
    <row r="34" spans="1:11" ht="13.5" thickBot="1" x14ac:dyDescent="0.25">
      <c r="B34" s="279" t="s">
        <v>73</v>
      </c>
      <c r="D34" s="279" t="s">
        <v>78</v>
      </c>
      <c r="J34" s="14">
        <f>SUM(J31:J33)</f>
        <v>2187564</v>
      </c>
    </row>
    <row r="35" spans="1:11" x14ac:dyDescent="0.2">
      <c r="A35" t="s">
        <v>308</v>
      </c>
      <c r="B35" s="279">
        <f>G31</f>
        <v>142</v>
      </c>
      <c r="C35" s="279"/>
      <c r="D35" s="247">
        <v>10000</v>
      </c>
      <c r="E35" s="279"/>
      <c r="F35" s="247">
        <f>B35*D35</f>
        <v>1420000</v>
      </c>
      <c r="G35" s="279"/>
      <c r="H35" s="279"/>
    </row>
    <row r="36" spans="1:11" x14ac:dyDescent="0.2">
      <c r="B36" s="279"/>
      <c r="C36" s="279"/>
      <c r="D36" s="279"/>
      <c r="E36" s="279"/>
      <c r="F36" s="279"/>
      <c r="G36" s="279"/>
      <c r="H36" s="279"/>
      <c r="J36" s="13">
        <f>'Sol4 Budget 201516'!B11</f>
        <v>2268004</v>
      </c>
      <c r="K36" t="s">
        <v>303</v>
      </c>
    </row>
    <row r="37" spans="1:11" x14ac:dyDescent="0.2">
      <c r="B37" s="279"/>
      <c r="C37" s="183" t="s">
        <v>309</v>
      </c>
      <c r="D37" s="279"/>
      <c r="E37" s="279"/>
      <c r="F37" s="247">
        <f>(F35/12)*5</f>
        <v>591666.66666666663</v>
      </c>
      <c r="G37" s="279"/>
      <c r="H37" s="279"/>
      <c r="J37" s="13"/>
    </row>
    <row r="38" spans="1:11" x14ac:dyDescent="0.2">
      <c r="B38" s="279"/>
      <c r="C38" s="183" t="s">
        <v>310</v>
      </c>
      <c r="D38" s="279"/>
      <c r="E38" s="279"/>
      <c r="F38" s="252">
        <f>F35/12*7</f>
        <v>828333.33333333326</v>
      </c>
      <c r="G38" s="279"/>
      <c r="H38" s="279"/>
      <c r="J38" s="13">
        <f>J36-J34</f>
        <v>80440</v>
      </c>
      <c r="K38" t="s">
        <v>312</v>
      </c>
    </row>
    <row r="39" spans="1:11" x14ac:dyDescent="0.2">
      <c r="B39" s="279"/>
      <c r="C39" s="279"/>
      <c r="D39" s="279"/>
      <c r="E39" s="279"/>
      <c r="F39" s="248">
        <f>SUM(F37:F38)</f>
        <v>1420000</v>
      </c>
      <c r="G39" s="279"/>
      <c r="H39" s="279"/>
    </row>
    <row r="40" spans="1:11" x14ac:dyDescent="0.2">
      <c r="B40" s="279"/>
      <c r="C40" s="279"/>
      <c r="D40" s="279"/>
      <c r="E40" s="279"/>
      <c r="F40" s="279"/>
      <c r="G40" s="279"/>
      <c r="H40" s="279"/>
    </row>
    <row r="41" spans="1:11" x14ac:dyDescent="0.2">
      <c r="B41" s="279"/>
      <c r="C41" s="279"/>
      <c r="D41" s="279"/>
      <c r="E41" s="279"/>
      <c r="F41" s="279"/>
      <c r="G41" s="279"/>
      <c r="H41" s="279"/>
    </row>
    <row r="42" spans="1:11" x14ac:dyDescent="0.2">
      <c r="A42" t="s">
        <v>317</v>
      </c>
      <c r="B42" s="13">
        <f>(H31+J24)-F37</f>
        <v>52756.433333333465</v>
      </c>
      <c r="C42" s="279"/>
      <c r="D42" t="s">
        <v>313</v>
      </c>
      <c r="E42" s="279"/>
      <c r="F42" s="279"/>
      <c r="G42" s="279">
        <v>100</v>
      </c>
      <c r="H42" s="217">
        <f>B42/G42</f>
        <v>527.56433333333462</v>
      </c>
      <c r="I42" t="s">
        <v>316</v>
      </c>
    </row>
    <row r="43" spans="1:11" x14ac:dyDescent="0.2">
      <c r="B43" s="279"/>
      <c r="C43" s="279"/>
      <c r="D43" s="279"/>
      <c r="E43" s="279"/>
      <c r="F43" s="279"/>
      <c r="G43" s="279"/>
      <c r="H43" s="279"/>
    </row>
    <row r="44" spans="1:11" ht="13.5" thickBot="1" x14ac:dyDescent="0.25">
      <c r="B44" s="251">
        <f>F37+B42</f>
        <v>644423.10000000009</v>
      </c>
      <c r="C44" s="250" t="s">
        <v>320</v>
      </c>
      <c r="D44" s="279"/>
      <c r="E44" s="279"/>
      <c r="F44" s="279"/>
      <c r="G44" s="279"/>
      <c r="H44" s="279"/>
    </row>
    <row r="45" spans="1:11" x14ac:dyDescent="0.2">
      <c r="B45" s="249"/>
      <c r="C45" s="249"/>
      <c r="D45" s="249"/>
      <c r="E45" s="249"/>
      <c r="F45" s="249"/>
      <c r="G45" s="249"/>
      <c r="H45" s="249"/>
      <c r="I45" s="249"/>
      <c r="J45" s="249"/>
      <c r="K45" s="249"/>
    </row>
    <row r="48" spans="1:11" x14ac:dyDescent="0.2">
      <c r="B48" t="s">
        <v>318</v>
      </c>
      <c r="F48" s="13">
        <f>J31</f>
        <v>1766598</v>
      </c>
    </row>
    <row r="50" spans="2:8" x14ac:dyDescent="0.2">
      <c r="B50" t="s">
        <v>319</v>
      </c>
      <c r="F50" s="247">
        <f>B44</f>
        <v>644423.10000000009</v>
      </c>
    </row>
    <row r="52" spans="2:8" x14ac:dyDescent="0.2">
      <c r="B52" t="s">
        <v>321</v>
      </c>
      <c r="F52" s="113">
        <f>F48-F50</f>
        <v>1122174.8999999999</v>
      </c>
    </row>
    <row r="54" spans="2:8" x14ac:dyDescent="0.2">
      <c r="B54" t="s">
        <v>322</v>
      </c>
      <c r="F54" s="247">
        <f>F38</f>
        <v>828333.33333333326</v>
      </c>
    </row>
    <row r="55" spans="2:8" x14ac:dyDescent="0.2">
      <c r="F55" s="279"/>
    </row>
    <row r="56" spans="2:8" x14ac:dyDescent="0.2">
      <c r="B56" t="s">
        <v>323</v>
      </c>
      <c r="F56" s="13">
        <f>F52-F54</f>
        <v>293841.56666666665</v>
      </c>
    </row>
    <row r="57" spans="2:8" x14ac:dyDescent="0.2">
      <c r="F57" s="279"/>
    </row>
    <row r="58" spans="2:8" x14ac:dyDescent="0.2">
      <c r="B58" t="s">
        <v>313</v>
      </c>
      <c r="F58" s="217">
        <f>F56/100</f>
        <v>2938.4156666666663</v>
      </c>
    </row>
    <row r="59" spans="2:8" x14ac:dyDescent="0.2">
      <c r="F59" s="279"/>
    </row>
    <row r="60" spans="2:8" x14ac:dyDescent="0.2">
      <c r="B60" t="s">
        <v>324</v>
      </c>
      <c r="F60" s="217">
        <f>H42+F58</f>
        <v>3465.9800000000009</v>
      </c>
      <c r="G60" s="253"/>
      <c r="H60" s="253"/>
    </row>
    <row r="61" spans="2:8" x14ac:dyDescent="0.2">
      <c r="F61" s="279"/>
    </row>
    <row r="62" spans="2:8" x14ac:dyDescent="0.2">
      <c r="F62" s="279"/>
    </row>
    <row r="63" spans="2:8" x14ac:dyDescent="0.2">
      <c r="F63" s="279"/>
    </row>
    <row r="64" spans="2:8" x14ac:dyDescent="0.2">
      <c r="F64" s="279"/>
    </row>
    <row r="65" spans="6:6" x14ac:dyDescent="0.2">
      <c r="F65" s="279"/>
    </row>
  </sheetData>
  <mergeCells count="5">
    <mergeCell ref="D27:D28"/>
    <mergeCell ref="E27:E28"/>
    <mergeCell ref="F27:F28"/>
    <mergeCell ref="G27:G28"/>
    <mergeCell ref="H27:H2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0"/>
  <sheetViews>
    <sheetView tabSelected="1" zoomScaleNormal="100" workbookViewId="0">
      <selection activeCell="A2" sqref="A2"/>
    </sheetView>
  </sheetViews>
  <sheetFormatPr defaultRowHeight="12.75" x14ac:dyDescent="0.2"/>
  <cols>
    <col min="1" max="1" width="133.42578125" customWidth="1"/>
  </cols>
  <sheetData>
    <row r="1" spans="1:2" x14ac:dyDescent="0.2">
      <c r="A1" s="287"/>
      <c r="B1" s="288"/>
    </row>
    <row r="2" spans="1:2" x14ac:dyDescent="0.2">
      <c r="A2" s="289" t="s">
        <v>475</v>
      </c>
      <c r="B2" s="290"/>
    </row>
    <row r="3" spans="1:2" x14ac:dyDescent="0.2">
      <c r="A3" s="98"/>
      <c r="B3" s="290"/>
    </row>
    <row r="4" spans="1:2" x14ac:dyDescent="0.2">
      <c r="A4" s="291" t="s">
        <v>398</v>
      </c>
      <c r="B4" s="290"/>
    </row>
    <row r="5" spans="1:2" x14ac:dyDescent="0.2">
      <c r="A5" s="294" t="s">
        <v>476</v>
      </c>
      <c r="B5" s="290"/>
    </row>
    <row r="6" spans="1:2" x14ac:dyDescent="0.2">
      <c r="A6" s="98"/>
      <c r="B6" s="290"/>
    </row>
    <row r="7" spans="1:2" x14ac:dyDescent="0.2">
      <c r="A7" s="291" t="s">
        <v>399</v>
      </c>
      <c r="B7" s="290"/>
    </row>
    <row r="8" spans="1:2" x14ac:dyDescent="0.2">
      <c r="A8" s="45" t="s">
        <v>478</v>
      </c>
      <c r="B8" s="290"/>
    </row>
    <row r="9" spans="1:2" x14ac:dyDescent="0.2">
      <c r="A9" s="294" t="s">
        <v>477</v>
      </c>
      <c r="B9" s="290"/>
    </row>
    <row r="10" spans="1:2" x14ac:dyDescent="0.2">
      <c r="A10" s="292"/>
      <c r="B10" s="293"/>
    </row>
  </sheetData>
  <sheetProtection password="F862" sheet="1" objects="1" scenarios="1"/>
  <pageMargins left="0.70866141732283472" right="0.70866141732283472" top="0.74803149606299213" bottom="0.74803149606299213" header="0.31496062992125984" footer="0.31496062992125984"/>
  <pageSetup paperSize="9" scale="94" orientation="landscape" r:id="rId1"/>
  <headerFooter>
    <oddHeader>&amp;CLincolnshire County Council</oddHeader>
    <oddFooter>&amp;C2020/21 AP Budget Share Calculation
Front Sheet</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J43"/>
  <sheetViews>
    <sheetView zoomScaleNormal="100" workbookViewId="0"/>
  </sheetViews>
  <sheetFormatPr defaultRowHeight="12.75" x14ac:dyDescent="0.2"/>
  <sheetData>
    <row r="43" spans="10:10" x14ac:dyDescent="0.2">
      <c r="J43" s="221"/>
    </row>
  </sheetData>
  <sheetProtection password="F862" sheet="1" objects="1" scenarios="1"/>
  <pageMargins left="0.70866141732283472" right="0.70866141732283472" top="0.74803149606299213" bottom="0.74803149606299213" header="0.31496062992125984" footer="0.31496062992125984"/>
  <pageSetup paperSize="9" scale="85" orientation="landscape" r:id="rId1"/>
  <headerFooter>
    <oddHeader>&amp;CLincolnshire County Council</oddHeader>
    <oddFooter>&amp;C2020/21 AP Budget Share Calculation
ISB Weightings</oddFooter>
  </headerFooter>
  <drawing r:id="rId2"/>
  <legacyDrawing r:id="rId3"/>
  <oleObjects>
    <mc:AlternateContent xmlns:mc="http://schemas.openxmlformats.org/markup-compatibility/2006">
      <mc:Choice Requires="x14">
        <oleObject progId="Document" shapeId="18433" r:id="rId4">
          <objectPr defaultSize="0" r:id="rId5">
            <anchor moveWithCells="1">
              <from>
                <xdr:col>1</xdr:col>
                <xdr:colOff>0</xdr:colOff>
                <xdr:row>0</xdr:row>
                <xdr:rowOff>142875</xdr:rowOff>
              </from>
              <to>
                <xdr:col>17</xdr:col>
                <xdr:colOff>142875</xdr:colOff>
                <xdr:row>41</xdr:row>
                <xdr:rowOff>114300</xdr:rowOff>
              </to>
            </anchor>
          </objectPr>
        </oleObject>
      </mc:Choice>
      <mc:Fallback>
        <oleObject progId="Document" shapeId="18433" r:id="rId4"/>
      </mc:Fallback>
    </mc:AlternateContent>
  </oleObjec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78"/>
  <sheetViews>
    <sheetView zoomScale="85" zoomScaleNormal="85" workbookViewId="0"/>
  </sheetViews>
  <sheetFormatPr defaultRowHeight="12.75" x14ac:dyDescent="0.2"/>
  <cols>
    <col min="1" max="1" width="39.140625" customWidth="1"/>
    <col min="2" max="2" width="27.7109375" customWidth="1"/>
    <col min="3" max="3" width="20.42578125" bestFit="1" customWidth="1"/>
    <col min="4" max="4" width="15.7109375" customWidth="1"/>
    <col min="5" max="5" width="13.28515625" bestFit="1" customWidth="1"/>
    <col min="6" max="8" width="26" customWidth="1"/>
    <col min="9" max="9" width="2.5703125" customWidth="1"/>
    <col min="10" max="10" width="25.7109375" customWidth="1"/>
    <col min="11" max="11" width="5.42578125" customWidth="1"/>
    <col min="12" max="12" width="26.140625" customWidth="1"/>
    <col min="13" max="13" width="18.7109375" customWidth="1"/>
  </cols>
  <sheetData>
    <row r="1" spans="1:12" ht="18" x14ac:dyDescent="0.25">
      <c r="A1" s="165" t="s">
        <v>474</v>
      </c>
    </row>
    <row r="3" spans="1:12" ht="22.5" customHeight="1" x14ac:dyDescent="0.2">
      <c r="A3" s="157" t="s">
        <v>469</v>
      </c>
      <c r="B3" s="242"/>
      <c r="C3" s="158"/>
      <c r="F3" s="259"/>
      <c r="G3" s="259"/>
      <c r="H3" s="259"/>
      <c r="I3" s="259"/>
      <c r="J3" s="259"/>
      <c r="K3" s="187"/>
      <c r="L3" s="65"/>
    </row>
    <row r="4" spans="1:12" x14ac:dyDescent="0.2">
      <c r="A4" s="263"/>
      <c r="B4" s="296" t="s">
        <v>458</v>
      </c>
      <c r="C4" s="296" t="s">
        <v>459</v>
      </c>
      <c r="E4" s="260"/>
      <c r="F4" s="261"/>
      <c r="G4" s="261"/>
      <c r="H4" s="261"/>
      <c r="I4" s="261"/>
      <c r="J4" s="77"/>
      <c r="K4" s="65"/>
    </row>
    <row r="5" spans="1:12" x14ac:dyDescent="0.2">
      <c r="A5" s="286" t="s">
        <v>468</v>
      </c>
      <c r="B5" s="273">
        <v>252</v>
      </c>
      <c r="C5" s="273">
        <v>252</v>
      </c>
      <c r="D5" s="295">
        <v>1</v>
      </c>
      <c r="E5" s="96"/>
      <c r="F5" s="189"/>
      <c r="G5" s="189"/>
      <c r="H5" s="189"/>
      <c r="I5" s="189"/>
      <c r="J5" s="77"/>
      <c r="K5" s="65"/>
    </row>
    <row r="6" spans="1:12" x14ac:dyDescent="0.2">
      <c r="A6" s="264"/>
      <c r="B6" s="265"/>
      <c r="C6" s="203"/>
      <c r="F6" s="96"/>
      <c r="G6" s="96"/>
      <c r="H6" s="96"/>
      <c r="I6" s="96"/>
      <c r="J6" s="189"/>
      <c r="K6" s="77"/>
      <c r="L6" s="65"/>
    </row>
    <row r="7" spans="1:12" x14ac:dyDescent="0.2">
      <c r="A7" s="269"/>
      <c r="B7" s="271" t="s">
        <v>345</v>
      </c>
      <c r="C7" s="274"/>
      <c r="D7" s="183"/>
      <c r="F7" s="262"/>
      <c r="G7" s="262"/>
      <c r="H7" s="262"/>
      <c r="I7" s="262"/>
      <c r="J7" s="189"/>
      <c r="K7" s="77"/>
      <c r="L7" s="65"/>
    </row>
    <row r="8" spans="1:12" x14ac:dyDescent="0.2">
      <c r="A8" s="174" t="s">
        <v>164</v>
      </c>
      <c r="B8" s="266">
        <v>10000</v>
      </c>
      <c r="C8" s="370">
        <v>2</v>
      </c>
      <c r="D8" s="183"/>
      <c r="F8" s="96"/>
      <c r="G8" s="96"/>
      <c r="H8" s="96"/>
      <c r="I8" s="96"/>
      <c r="J8" s="189"/>
      <c r="K8" s="77"/>
      <c r="L8" s="65"/>
    </row>
    <row r="9" spans="1:12" x14ac:dyDescent="0.2">
      <c r="A9" s="270" t="s">
        <v>160</v>
      </c>
      <c r="B9" s="266">
        <v>10500</v>
      </c>
      <c r="C9" s="370">
        <v>3</v>
      </c>
      <c r="D9" s="183"/>
      <c r="F9" s="96"/>
      <c r="G9" s="96"/>
      <c r="H9" s="96"/>
      <c r="I9" s="96"/>
      <c r="J9" s="189"/>
      <c r="K9" s="77"/>
      <c r="L9" s="65"/>
    </row>
    <row r="10" spans="1:12" x14ac:dyDescent="0.2">
      <c r="A10" s="267" t="s">
        <v>344</v>
      </c>
      <c r="B10" s="268">
        <f>SUM(B8:B9)</f>
        <v>20500</v>
      </c>
      <c r="C10" s="370">
        <v>4</v>
      </c>
      <c r="D10" s="183"/>
      <c r="F10" s="96"/>
      <c r="G10" s="96"/>
      <c r="H10" s="96"/>
      <c r="I10" s="96"/>
      <c r="J10" s="189"/>
      <c r="K10" s="77"/>
      <c r="L10" s="65"/>
    </row>
    <row r="11" spans="1:12" x14ac:dyDescent="0.2">
      <c r="B11" s="13"/>
      <c r="C11" s="282"/>
      <c r="D11" s="183"/>
      <c r="F11" s="262"/>
      <c r="G11" s="262"/>
      <c r="H11" s="262"/>
      <c r="I11" s="262"/>
      <c r="J11" s="189"/>
      <c r="K11" s="77"/>
      <c r="L11" s="65"/>
    </row>
    <row r="12" spans="1:12" ht="12.75" customHeight="1" x14ac:dyDescent="0.2">
      <c r="A12" s="398" t="s">
        <v>481</v>
      </c>
      <c r="B12" s="399"/>
      <c r="C12" s="399"/>
      <c r="D12" s="399"/>
      <c r="E12" s="399"/>
      <c r="F12" s="399"/>
      <c r="G12" s="399"/>
      <c r="H12" s="399"/>
      <c r="I12" s="399"/>
      <c r="J12" s="399"/>
      <c r="K12" s="77"/>
      <c r="L12" s="65"/>
    </row>
    <row r="13" spans="1:12" x14ac:dyDescent="0.2">
      <c r="A13" s="399"/>
      <c r="B13" s="399"/>
      <c r="C13" s="399"/>
      <c r="D13" s="399"/>
      <c r="E13" s="399"/>
      <c r="F13" s="399"/>
      <c r="G13" s="399"/>
      <c r="H13" s="399"/>
      <c r="I13" s="399"/>
      <c r="J13" s="399"/>
      <c r="K13" s="77"/>
      <c r="L13" s="65"/>
    </row>
    <row r="14" spans="1:12" x14ac:dyDescent="0.2">
      <c r="A14" s="399"/>
      <c r="B14" s="399"/>
      <c r="C14" s="399"/>
      <c r="D14" s="399"/>
      <c r="E14" s="399"/>
      <c r="F14" s="399"/>
      <c r="G14" s="399"/>
      <c r="H14" s="399"/>
      <c r="I14" s="399"/>
      <c r="J14" s="399"/>
      <c r="L14" s="65"/>
    </row>
    <row r="15" spans="1:12" ht="13.5" thickBot="1" x14ac:dyDescent="0.25">
      <c r="A15" s="19"/>
      <c r="B15" s="19"/>
      <c r="C15" s="19"/>
      <c r="D15" s="19"/>
      <c r="E15" s="19"/>
      <c r="F15" s="19"/>
      <c r="G15" s="19"/>
      <c r="H15" s="19"/>
      <c r="I15" s="19"/>
      <c r="J15" s="19"/>
      <c r="K15" s="19"/>
      <c r="L15" s="65"/>
    </row>
    <row r="16" spans="1:12" x14ac:dyDescent="0.2">
      <c r="A16" s="65"/>
      <c r="B16" s="65"/>
      <c r="C16" s="65"/>
      <c r="D16" s="65"/>
      <c r="E16" s="65"/>
      <c r="F16" s="65"/>
      <c r="G16" s="65"/>
      <c r="H16" s="65"/>
      <c r="I16" s="65"/>
      <c r="J16" s="65"/>
      <c r="K16" s="65"/>
      <c r="L16" s="65"/>
    </row>
    <row r="17" spans="1:12" ht="18" x14ac:dyDescent="0.25">
      <c r="A17" s="165" t="s">
        <v>460</v>
      </c>
      <c r="L17" s="65"/>
    </row>
    <row r="19" spans="1:12" x14ac:dyDescent="0.2">
      <c r="A19" s="18" t="s">
        <v>461</v>
      </c>
      <c r="B19" s="13"/>
      <c r="C19" s="219"/>
      <c r="D19" s="218"/>
      <c r="E19" s="13"/>
    </row>
    <row r="20" spans="1:12" x14ac:dyDescent="0.2">
      <c r="B20" s="13"/>
      <c r="C20" s="13"/>
      <c r="D20" s="13"/>
      <c r="E20" s="13"/>
    </row>
    <row r="21" spans="1:12" x14ac:dyDescent="0.2">
      <c r="A21" s="18" t="s">
        <v>470</v>
      </c>
      <c r="B21" s="365" t="s">
        <v>464</v>
      </c>
      <c r="C21" s="282" t="s">
        <v>161</v>
      </c>
      <c r="D21" s="282" t="s">
        <v>164</v>
      </c>
    </row>
    <row r="22" spans="1:12" x14ac:dyDescent="0.2">
      <c r="A22" t="s">
        <v>463</v>
      </c>
      <c r="B22" s="365">
        <v>63</v>
      </c>
      <c r="C22" s="374">
        <f>SUM($B$8)</f>
        <v>10000</v>
      </c>
      <c r="D22" s="13">
        <f>B22*C22</f>
        <v>630000</v>
      </c>
      <c r="E22" s="301"/>
    </row>
    <row r="23" spans="1:12" x14ac:dyDescent="0.2">
      <c r="A23" s="45" t="s">
        <v>462</v>
      </c>
      <c r="B23" s="365">
        <v>63</v>
      </c>
      <c r="C23" s="374">
        <f t="shared" ref="C23:C25" si="0">SUM($B$8)</f>
        <v>10000</v>
      </c>
      <c r="D23" s="13">
        <f>B23*C22</f>
        <v>630000</v>
      </c>
    </row>
    <row r="24" spans="1:12" x14ac:dyDescent="0.2">
      <c r="A24" s="283" t="s">
        <v>13</v>
      </c>
      <c r="B24" s="365">
        <v>63</v>
      </c>
      <c r="C24" s="374">
        <f t="shared" si="0"/>
        <v>10000</v>
      </c>
      <c r="D24" s="13">
        <f>B24*C22</f>
        <v>630000</v>
      </c>
      <c r="F24" s="303"/>
    </row>
    <row r="25" spans="1:12" x14ac:dyDescent="0.2">
      <c r="A25" s="283" t="s">
        <v>10</v>
      </c>
      <c r="B25" s="365">
        <v>63</v>
      </c>
      <c r="C25" s="374">
        <f t="shared" si="0"/>
        <v>10000</v>
      </c>
      <c r="D25" s="13">
        <f>B25*C22</f>
        <v>630000</v>
      </c>
      <c r="E25" s="302"/>
      <c r="F25" s="304"/>
      <c r="G25" s="301"/>
    </row>
    <row r="26" spans="1:12" x14ac:dyDescent="0.2">
      <c r="B26" s="246">
        <f>SUM(B22:B25)</f>
        <v>252</v>
      </c>
      <c r="C26" s="24"/>
      <c r="D26" s="113">
        <f>SUM(D22:D25)</f>
        <v>2520000</v>
      </c>
      <c r="E26" s="218">
        <v>5</v>
      </c>
    </row>
    <row r="27" spans="1:12" x14ac:dyDescent="0.2">
      <c r="B27" s="9"/>
      <c r="C27" s="24"/>
      <c r="D27" s="24"/>
      <c r="E27" s="218"/>
    </row>
    <row r="28" spans="1:12" x14ac:dyDescent="0.2">
      <c r="B28" s="22" t="s">
        <v>161</v>
      </c>
      <c r="C28" s="167">
        <v>10000</v>
      </c>
      <c r="D28" s="24"/>
    </row>
    <row r="29" spans="1:12" x14ac:dyDescent="0.2">
      <c r="A29" s="298" t="s">
        <v>467</v>
      </c>
      <c r="B29" s="13"/>
    </row>
    <row r="31" spans="1:12" x14ac:dyDescent="0.2">
      <c r="A31" s="18" t="s">
        <v>470</v>
      </c>
      <c r="B31" s="365" t="s">
        <v>464</v>
      </c>
      <c r="C31" s="282" t="str">
        <f>'Summary 201718'!E51</f>
        <v>Top up Value</v>
      </c>
      <c r="D31" s="282" t="str">
        <f>'Summary 201718'!F51</f>
        <v>Top up Funding</v>
      </c>
      <c r="F31" s="297"/>
      <c r="G31" s="24"/>
      <c r="H31" s="299"/>
    </row>
    <row r="32" spans="1:12" x14ac:dyDescent="0.2">
      <c r="A32" t="s">
        <v>463</v>
      </c>
      <c r="B32" s="365">
        <v>63</v>
      </c>
      <c r="C32" s="373">
        <f>SUM($B$9)*5/12</f>
        <v>4375</v>
      </c>
      <c r="D32" s="13">
        <f>B32*C32</f>
        <v>275625</v>
      </c>
      <c r="E32" s="183"/>
      <c r="F32" s="297"/>
      <c r="G32" s="297"/>
    </row>
    <row r="33" spans="1:10" x14ac:dyDescent="0.2">
      <c r="A33" s="45" t="s">
        <v>462</v>
      </c>
      <c r="B33" s="365">
        <v>63</v>
      </c>
      <c r="C33" s="373">
        <f t="shared" ref="C33:C35" si="1">SUM($B$9)*5/12</f>
        <v>4375</v>
      </c>
      <c r="D33" s="13">
        <f>B33*C32</f>
        <v>275625</v>
      </c>
      <c r="E33" s="183"/>
      <c r="F33" s="297"/>
      <c r="G33" s="183"/>
    </row>
    <row r="34" spans="1:10" x14ac:dyDescent="0.2">
      <c r="A34" s="366" t="s">
        <v>13</v>
      </c>
      <c r="B34" s="365">
        <v>63</v>
      </c>
      <c r="C34" s="373">
        <f t="shared" si="1"/>
        <v>4375</v>
      </c>
      <c r="D34" s="13">
        <f>B34*C32</f>
        <v>275625</v>
      </c>
      <c r="E34" s="183"/>
    </row>
    <row r="35" spans="1:10" x14ac:dyDescent="0.2">
      <c r="A35" s="366" t="s">
        <v>10</v>
      </c>
      <c r="B35" s="365">
        <v>63</v>
      </c>
      <c r="C35" s="373">
        <f t="shared" si="1"/>
        <v>4375</v>
      </c>
      <c r="D35" s="13">
        <f>B35*C32</f>
        <v>275625</v>
      </c>
      <c r="E35" s="183"/>
      <c r="I35" s="303"/>
    </row>
    <row r="36" spans="1:10" x14ac:dyDescent="0.2">
      <c r="B36" s="246">
        <f>SUM(B32:B35)</f>
        <v>252</v>
      </c>
      <c r="C36" s="24"/>
      <c r="D36" s="113">
        <f>SUM(D32:D35)</f>
        <v>1102500</v>
      </c>
      <c r="E36" s="183">
        <v>6</v>
      </c>
      <c r="I36" s="302"/>
    </row>
    <row r="37" spans="1:10" x14ac:dyDescent="0.2">
      <c r="E37" s="183"/>
    </row>
    <row r="38" spans="1:10" x14ac:dyDescent="0.2">
      <c r="A38" s="298" t="s">
        <v>465</v>
      </c>
      <c r="B38" s="13"/>
      <c r="E38" s="183"/>
      <c r="F38" s="1"/>
    </row>
    <row r="39" spans="1:10" x14ac:dyDescent="0.2">
      <c r="E39" s="183"/>
    </row>
    <row r="40" spans="1:10" x14ac:dyDescent="0.2">
      <c r="A40" s="18" t="s">
        <v>470</v>
      </c>
      <c r="B40" s="365" t="s">
        <v>464</v>
      </c>
      <c r="C40" s="300" t="s">
        <v>64</v>
      </c>
      <c r="D40" s="300" t="s">
        <v>160</v>
      </c>
      <c r="E40" s="183"/>
      <c r="F40" s="371" t="s">
        <v>66</v>
      </c>
      <c r="G40" s="372"/>
      <c r="H40" s="183"/>
    </row>
    <row r="41" spans="1:10" x14ac:dyDescent="0.2">
      <c r="A41" t="s">
        <v>463</v>
      </c>
      <c r="B41" s="365">
        <v>63</v>
      </c>
      <c r="C41" s="373">
        <f>SUM($B$9)*7/12</f>
        <v>6125</v>
      </c>
      <c r="D41" s="13">
        <f>B41*C41</f>
        <v>385875</v>
      </c>
      <c r="E41" s="183"/>
      <c r="F41" s="13">
        <f>D22+D32+D41</f>
        <v>1291500</v>
      </c>
      <c r="G41" s="219"/>
    </row>
    <row r="42" spans="1:10" x14ac:dyDescent="0.2">
      <c r="A42" s="45" t="s">
        <v>462</v>
      </c>
      <c r="B42" s="365">
        <v>63</v>
      </c>
      <c r="C42" s="373">
        <f t="shared" ref="C42:C44" si="2">SUM($B$9)*7/12</f>
        <v>6125</v>
      </c>
      <c r="D42" s="13">
        <f>B42*C41</f>
        <v>385875</v>
      </c>
      <c r="E42" s="183"/>
      <c r="F42" s="13">
        <f t="shared" ref="F42:F44" si="3">D23+D33+D42</f>
        <v>1291500</v>
      </c>
      <c r="G42" s="183"/>
    </row>
    <row r="43" spans="1:10" x14ac:dyDescent="0.2">
      <c r="A43" s="366" t="s">
        <v>13</v>
      </c>
      <c r="B43" s="365">
        <v>63</v>
      </c>
      <c r="C43" s="373">
        <f t="shared" si="2"/>
        <v>6125</v>
      </c>
      <c r="D43" s="13">
        <f>B43*C41</f>
        <v>385875</v>
      </c>
      <c r="E43" s="183"/>
      <c r="F43" s="13">
        <f t="shared" si="3"/>
        <v>1291500</v>
      </c>
      <c r="G43" s="24"/>
      <c r="H43" s="183"/>
    </row>
    <row r="44" spans="1:10" x14ac:dyDescent="0.2">
      <c r="A44" s="366" t="s">
        <v>10</v>
      </c>
      <c r="B44" s="365">
        <v>63</v>
      </c>
      <c r="C44" s="373">
        <f t="shared" si="2"/>
        <v>6125</v>
      </c>
      <c r="D44" s="13">
        <f>B44*C41</f>
        <v>385875</v>
      </c>
      <c r="E44" s="183"/>
      <c r="F44" s="13">
        <f t="shared" si="3"/>
        <v>1291500</v>
      </c>
      <c r="G44" s="9"/>
    </row>
    <row r="45" spans="1:10" x14ac:dyDescent="0.2">
      <c r="B45" s="246">
        <f>SUM(B41:B44)</f>
        <v>252</v>
      </c>
      <c r="C45" s="24"/>
      <c r="D45" s="113">
        <f>SUM(D41:D44)</f>
        <v>1543500</v>
      </c>
      <c r="E45" s="183">
        <v>7</v>
      </c>
      <c r="F45" s="113">
        <f>SUM(F41:F44)</f>
        <v>5166000</v>
      </c>
      <c r="G45" s="376">
        <v>9</v>
      </c>
      <c r="H45" s="183"/>
    </row>
    <row r="46" spans="1:10" x14ac:dyDescent="0.2">
      <c r="B46" s="9"/>
      <c r="C46" s="24"/>
      <c r="D46" s="24"/>
      <c r="E46" s="183"/>
      <c r="F46" s="375"/>
      <c r="G46" s="24"/>
      <c r="H46" s="183"/>
    </row>
    <row r="47" spans="1:10" x14ac:dyDescent="0.2">
      <c r="B47" s="22" t="s">
        <v>64</v>
      </c>
      <c r="C47" s="116">
        <f>C32+C41</f>
        <v>10500</v>
      </c>
      <c r="D47" s="24"/>
      <c r="E47" s="24"/>
      <c r="F47" s="24"/>
      <c r="G47" s="183"/>
      <c r="H47" s="364"/>
      <c r="I47" s="24"/>
      <c r="J47" s="183"/>
    </row>
    <row r="48" spans="1:10" x14ac:dyDescent="0.2">
      <c r="C48" s="116"/>
      <c r="D48" s="24"/>
      <c r="E48" s="24"/>
      <c r="F48" s="24"/>
      <c r="G48" s="183"/>
      <c r="H48" s="375"/>
      <c r="I48" s="24"/>
      <c r="J48" s="183"/>
    </row>
    <row r="49" spans="1:11" x14ac:dyDescent="0.2">
      <c r="A49" s="146"/>
      <c r="B49" s="182" t="s">
        <v>466</v>
      </c>
      <c r="C49" s="116"/>
      <c r="D49" s="166">
        <f>SUM(D26+D36+D45)</f>
        <v>5166000</v>
      </c>
      <c r="E49" s="183">
        <v>8</v>
      </c>
    </row>
    <row r="50" spans="1:11" x14ac:dyDescent="0.2">
      <c r="F50" s="183"/>
      <c r="G50" s="183"/>
      <c r="H50" s="183"/>
      <c r="I50" s="183"/>
      <c r="J50" s="217"/>
    </row>
    <row r="51" spans="1:11" ht="12.75" customHeight="1" x14ac:dyDescent="0.2">
      <c r="A51" s="395" t="s">
        <v>482</v>
      </c>
      <c r="B51" s="395"/>
      <c r="C51" s="395"/>
      <c r="D51" s="395"/>
      <c r="E51" s="395"/>
      <c r="F51" s="395"/>
      <c r="G51" s="395"/>
      <c r="H51" s="395"/>
      <c r="I51" s="395"/>
      <c r="J51" s="395"/>
      <c r="K51" s="395"/>
    </row>
    <row r="52" spans="1:11" x14ac:dyDescent="0.2">
      <c r="A52" s="395"/>
      <c r="B52" s="395"/>
      <c r="C52" s="395"/>
      <c r="D52" s="395"/>
      <c r="E52" s="395"/>
      <c r="F52" s="395"/>
      <c r="G52" s="395"/>
      <c r="H52" s="395"/>
      <c r="I52" s="395"/>
      <c r="J52" s="395"/>
      <c r="K52" s="395"/>
    </row>
    <row r="53" spans="1:11" x14ac:dyDescent="0.2">
      <c r="A53" s="395"/>
      <c r="B53" s="395"/>
      <c r="C53" s="395"/>
      <c r="D53" s="395"/>
      <c r="E53" s="395"/>
      <c r="F53" s="395"/>
      <c r="G53" s="395"/>
      <c r="H53" s="395"/>
      <c r="I53" s="395"/>
      <c r="J53" s="395"/>
      <c r="K53" s="395"/>
    </row>
    <row r="54" spans="1:11" x14ac:dyDescent="0.2">
      <c r="A54" s="277"/>
      <c r="B54" s="277"/>
      <c r="C54" s="277"/>
      <c r="D54" s="277"/>
      <c r="E54" s="277"/>
      <c r="F54" s="277"/>
      <c r="G54" s="369"/>
      <c r="H54" s="369"/>
      <c r="I54" s="369"/>
      <c r="J54" s="277"/>
    </row>
    <row r="55" spans="1:11" ht="12.75" customHeight="1" x14ac:dyDescent="0.2">
      <c r="A55" s="395" t="s">
        <v>479</v>
      </c>
      <c r="B55" s="395"/>
      <c r="C55" s="395"/>
      <c r="D55" s="395"/>
      <c r="E55" s="395"/>
      <c r="F55" s="395"/>
      <c r="G55" s="395"/>
      <c r="H55" s="395"/>
      <c r="I55" s="395"/>
      <c r="J55" s="395"/>
      <c r="K55" s="395"/>
    </row>
    <row r="56" spans="1:11" x14ac:dyDescent="0.2">
      <c r="A56" s="395"/>
      <c r="B56" s="395"/>
      <c r="C56" s="395"/>
      <c r="D56" s="395"/>
      <c r="E56" s="395"/>
      <c r="F56" s="395"/>
      <c r="G56" s="395"/>
      <c r="H56" s="395"/>
      <c r="I56" s="395"/>
      <c r="J56" s="395"/>
      <c r="K56" s="395"/>
    </row>
    <row r="57" spans="1:11" ht="12.75" customHeight="1" x14ac:dyDescent="0.2">
      <c r="A57" s="395"/>
      <c r="B57" s="395"/>
      <c r="C57" s="395"/>
      <c r="D57" s="395"/>
      <c r="E57" s="395"/>
      <c r="F57" s="395"/>
      <c r="G57" s="395"/>
      <c r="H57" s="395"/>
      <c r="I57" s="395"/>
      <c r="J57" s="395"/>
      <c r="K57" s="395"/>
    </row>
    <row r="58" spans="1:11" x14ac:dyDescent="0.2">
      <c r="A58" s="277"/>
      <c r="B58" s="277"/>
      <c r="C58" s="277"/>
      <c r="D58" s="277"/>
      <c r="E58" s="277"/>
      <c r="F58" s="277"/>
      <c r="G58" s="369"/>
      <c r="H58" s="369"/>
      <c r="I58" s="369"/>
      <c r="J58" s="277"/>
    </row>
    <row r="59" spans="1:11" ht="12.75" customHeight="1" x14ac:dyDescent="0.2">
      <c r="A59" s="395" t="s">
        <v>483</v>
      </c>
      <c r="B59" s="395"/>
      <c r="C59" s="395"/>
      <c r="D59" s="395"/>
      <c r="E59" s="395"/>
      <c r="F59" s="395"/>
      <c r="G59" s="395"/>
      <c r="H59" s="395"/>
      <c r="I59" s="395"/>
      <c r="J59" s="395"/>
      <c r="K59" s="395"/>
    </row>
    <row r="60" spans="1:11" x14ac:dyDescent="0.2">
      <c r="A60" s="395"/>
      <c r="B60" s="395"/>
      <c r="C60" s="395"/>
      <c r="D60" s="395"/>
      <c r="E60" s="395"/>
      <c r="F60" s="395"/>
      <c r="G60" s="395"/>
      <c r="H60" s="395"/>
      <c r="I60" s="395"/>
      <c r="J60" s="395"/>
      <c r="K60" s="395"/>
    </row>
    <row r="61" spans="1:11" ht="12.75" customHeight="1" x14ac:dyDescent="0.2">
      <c r="A61" s="277"/>
      <c r="B61" s="277"/>
      <c r="C61" s="277"/>
      <c r="D61" s="277"/>
      <c r="E61" s="277"/>
      <c r="F61" s="277"/>
      <c r="G61" s="369"/>
      <c r="H61" s="369"/>
      <c r="I61" s="369"/>
      <c r="J61" s="277"/>
    </row>
    <row r="62" spans="1:11" ht="12.75" customHeight="1" x14ac:dyDescent="0.2">
      <c r="A62" s="395" t="s">
        <v>349</v>
      </c>
      <c r="B62" s="395"/>
      <c r="C62" s="395"/>
      <c r="D62" s="395"/>
      <c r="E62" s="395"/>
      <c r="F62" s="395"/>
      <c r="G62" s="395"/>
      <c r="H62" s="395"/>
      <c r="I62" s="395"/>
      <c r="J62" s="395"/>
      <c r="K62" s="395"/>
    </row>
    <row r="63" spans="1:11" x14ac:dyDescent="0.2">
      <c r="A63" s="395"/>
      <c r="B63" s="395"/>
      <c r="C63" s="395"/>
      <c r="D63" s="395"/>
      <c r="E63" s="395"/>
      <c r="F63" s="395"/>
      <c r="G63" s="395"/>
      <c r="H63" s="395"/>
      <c r="I63" s="395"/>
      <c r="J63" s="395"/>
      <c r="K63" s="395"/>
    </row>
    <row r="64" spans="1:11" x14ac:dyDescent="0.2">
      <c r="A64" s="284"/>
      <c r="B64" s="284"/>
      <c r="C64" s="284"/>
      <c r="D64" s="284"/>
      <c r="E64" s="284"/>
      <c r="F64" s="284"/>
      <c r="G64" s="368"/>
      <c r="H64" s="368"/>
      <c r="I64" s="368"/>
      <c r="J64" s="284"/>
    </row>
    <row r="65" spans="1:11" ht="12.75" customHeight="1" x14ac:dyDescent="0.2">
      <c r="A65" s="395" t="s">
        <v>480</v>
      </c>
      <c r="B65" s="395"/>
      <c r="C65" s="395"/>
      <c r="D65" s="395"/>
      <c r="E65" s="395"/>
      <c r="F65" s="395"/>
      <c r="G65" s="395"/>
      <c r="H65" s="395"/>
      <c r="I65" s="395"/>
      <c r="J65" s="395"/>
      <c r="K65" s="395"/>
    </row>
    <row r="66" spans="1:11" ht="12.75" customHeight="1" x14ac:dyDescent="0.2">
      <c r="A66" s="395"/>
      <c r="B66" s="395"/>
      <c r="C66" s="395"/>
      <c r="D66" s="395"/>
      <c r="E66" s="395"/>
      <c r="F66" s="395"/>
      <c r="G66" s="395"/>
      <c r="H66" s="395"/>
      <c r="I66" s="395"/>
      <c r="J66" s="395"/>
      <c r="K66" s="395"/>
    </row>
    <row r="67" spans="1:11" x14ac:dyDescent="0.2">
      <c r="A67" s="277"/>
      <c r="B67" s="277"/>
      <c r="C67" s="277"/>
      <c r="D67" s="277"/>
      <c r="E67" s="277"/>
      <c r="F67" s="277"/>
      <c r="G67" s="369"/>
      <c r="H67" s="369"/>
      <c r="I67" s="369"/>
      <c r="J67" s="277"/>
    </row>
    <row r="68" spans="1:11" ht="12.75" customHeight="1" x14ac:dyDescent="0.2">
      <c r="A68" s="394" t="s">
        <v>472</v>
      </c>
      <c r="B68" s="394"/>
      <c r="C68" s="394"/>
      <c r="D68" s="394"/>
      <c r="E68" s="394"/>
      <c r="F68" s="394"/>
      <c r="G68" s="394"/>
      <c r="H68" s="394"/>
      <c r="I68" s="394"/>
      <c r="J68" s="394"/>
      <c r="K68" s="394"/>
    </row>
    <row r="69" spans="1:11" x14ac:dyDescent="0.2">
      <c r="A69" s="394"/>
      <c r="B69" s="394"/>
      <c r="C69" s="394"/>
      <c r="D69" s="394"/>
      <c r="E69" s="394"/>
      <c r="F69" s="394"/>
      <c r="G69" s="394"/>
      <c r="H69" s="394"/>
      <c r="I69" s="394"/>
      <c r="J69" s="394"/>
      <c r="K69" s="394"/>
    </row>
    <row r="70" spans="1:11" x14ac:dyDescent="0.2">
      <c r="A70" s="277"/>
      <c r="B70" s="277"/>
      <c r="C70" s="277"/>
      <c r="D70" s="277"/>
      <c r="E70" s="277"/>
      <c r="F70" s="277"/>
      <c r="G70" s="369"/>
      <c r="H70" s="369"/>
      <c r="I70" s="369"/>
      <c r="J70" s="277"/>
    </row>
    <row r="71" spans="1:11" x14ac:dyDescent="0.2">
      <c r="A71" s="394" t="s">
        <v>471</v>
      </c>
      <c r="B71" s="394"/>
      <c r="C71" s="394"/>
      <c r="D71" s="394"/>
      <c r="E71" s="394"/>
      <c r="F71" s="394"/>
      <c r="G71" s="394"/>
      <c r="H71" s="394"/>
      <c r="I71" s="394"/>
      <c r="J71" s="394"/>
      <c r="K71" s="394"/>
    </row>
    <row r="72" spans="1:11" x14ac:dyDescent="0.2">
      <c r="A72" s="394"/>
      <c r="B72" s="394"/>
      <c r="C72" s="394"/>
      <c r="D72" s="394"/>
      <c r="E72" s="394"/>
      <c r="F72" s="394"/>
      <c r="G72" s="394"/>
      <c r="H72" s="394"/>
      <c r="I72" s="394"/>
      <c r="J72" s="394"/>
      <c r="K72" s="394"/>
    </row>
    <row r="73" spans="1:11" x14ac:dyDescent="0.2">
      <c r="A73" s="276"/>
      <c r="B73" s="276"/>
      <c r="C73" s="276"/>
      <c r="D73" s="276"/>
      <c r="E73" s="276"/>
      <c r="F73" s="276"/>
      <c r="G73" s="276"/>
      <c r="H73" s="276"/>
      <c r="I73" s="276"/>
      <c r="J73" s="276"/>
    </row>
    <row r="74" spans="1:11" x14ac:dyDescent="0.2">
      <c r="A74" s="394" t="s">
        <v>473</v>
      </c>
      <c r="B74" s="394"/>
      <c r="C74" s="394"/>
      <c r="D74" s="394"/>
      <c r="E74" s="394"/>
      <c r="F74" s="394"/>
      <c r="G74" s="394"/>
      <c r="H74" s="394"/>
      <c r="I74" s="394"/>
      <c r="J74" s="394"/>
      <c r="K74" s="394"/>
    </row>
    <row r="75" spans="1:11" x14ac:dyDescent="0.2">
      <c r="A75" s="394"/>
      <c r="B75" s="394"/>
      <c r="C75" s="394"/>
      <c r="D75" s="394"/>
      <c r="E75" s="394"/>
      <c r="F75" s="394"/>
      <c r="G75" s="394"/>
      <c r="H75" s="394"/>
      <c r="I75" s="394"/>
      <c r="J75" s="394"/>
      <c r="K75" s="394"/>
    </row>
    <row r="76" spans="1:11" x14ac:dyDescent="0.2">
      <c r="A76" s="306"/>
      <c r="B76" s="306"/>
      <c r="C76" s="306"/>
      <c r="D76" s="306"/>
      <c r="E76" s="306"/>
      <c r="F76" s="306"/>
      <c r="G76" s="367"/>
      <c r="H76" s="367"/>
      <c r="I76" s="367"/>
      <c r="J76" s="306"/>
      <c r="K76" s="306"/>
    </row>
    <row r="77" spans="1:11" x14ac:dyDescent="0.2">
      <c r="A77" s="394" t="s">
        <v>484</v>
      </c>
      <c r="B77" s="394"/>
      <c r="C77" s="394"/>
      <c r="D77" s="394"/>
      <c r="E77" s="394"/>
      <c r="F77" s="394"/>
      <c r="G77" s="394"/>
      <c r="H77" s="394"/>
      <c r="I77" s="394"/>
      <c r="J77" s="394"/>
      <c r="K77" s="394"/>
    </row>
    <row r="78" spans="1:11" x14ac:dyDescent="0.2">
      <c r="A78" s="394"/>
      <c r="B78" s="394"/>
      <c r="C78" s="394"/>
      <c r="D78" s="394"/>
      <c r="E78" s="394"/>
      <c r="F78" s="394"/>
      <c r="G78" s="394"/>
      <c r="H78" s="394"/>
      <c r="I78" s="394"/>
      <c r="J78" s="394"/>
      <c r="K78" s="394"/>
    </row>
  </sheetData>
  <sheetProtection password="F862" sheet="1" objects="1" scenarios="1"/>
  <mergeCells count="10">
    <mergeCell ref="A77:K78"/>
    <mergeCell ref="A74:K75"/>
    <mergeCell ref="A65:K66"/>
    <mergeCell ref="A68:K69"/>
    <mergeCell ref="A71:K72"/>
    <mergeCell ref="A12:J14"/>
    <mergeCell ref="A51:K53"/>
    <mergeCell ref="A55:K57"/>
    <mergeCell ref="A59:K60"/>
    <mergeCell ref="A62:K63"/>
  </mergeCells>
  <pageMargins left="0.70866141732283472" right="0.70866141732283472" top="0.74803149606299213" bottom="0.74803149606299213" header="0.31496062992125984" footer="0.31496062992125984"/>
  <pageSetup paperSize="9" scale="40" fitToHeight="0" orientation="portrait" r:id="rId1"/>
  <headerFooter>
    <oddHeader>&amp;CLincolnshire County Council</oddHeader>
    <oddFooter>&amp;C2020/21 AP Budget Share Calculation
Budget Share</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workbookViewId="0">
      <selection activeCell="I47" sqref="I47"/>
    </sheetView>
  </sheetViews>
  <sheetFormatPr defaultRowHeight="12.75" x14ac:dyDescent="0.2"/>
  <cols>
    <col min="2" max="2" width="32.85546875" customWidth="1"/>
    <col min="3" max="3" width="11.5703125" bestFit="1" customWidth="1"/>
    <col min="6" max="6" width="10.5703125" customWidth="1"/>
    <col min="7" max="7" width="24.5703125" customWidth="1"/>
    <col min="9" max="9" width="9.5703125" bestFit="1" customWidth="1"/>
    <col min="10" max="10" width="10.85546875" customWidth="1"/>
    <col min="11" max="11" width="10.28515625" customWidth="1"/>
  </cols>
  <sheetData>
    <row r="1" spans="1:16" ht="18.75" thickBot="1" x14ac:dyDescent="0.3">
      <c r="A1" s="307"/>
      <c r="B1" s="308" t="s">
        <v>400</v>
      </c>
      <c r="C1" s="307"/>
      <c r="D1" s="307"/>
    </row>
    <row r="2" spans="1:16" ht="15" x14ac:dyDescent="0.25">
      <c r="A2" s="307"/>
      <c r="B2" s="309"/>
      <c r="C2" s="307"/>
      <c r="D2" s="307"/>
      <c r="F2" s="310"/>
      <c r="G2" s="311"/>
      <c r="H2" s="311"/>
      <c r="I2" s="311"/>
      <c r="J2" s="312">
        <v>4000</v>
      </c>
      <c r="K2" s="312">
        <v>33.75</v>
      </c>
      <c r="L2" s="313"/>
      <c r="M2" s="313"/>
      <c r="N2" s="314"/>
      <c r="O2" s="315"/>
    </row>
    <row r="3" spans="1:16" ht="26.25" x14ac:dyDescent="0.25">
      <c r="A3" s="316" t="s">
        <v>401</v>
      </c>
      <c r="B3" s="317" t="s">
        <v>402</v>
      </c>
      <c r="C3" s="318" t="s">
        <v>35</v>
      </c>
      <c r="D3" s="319" t="s">
        <v>403</v>
      </c>
      <c r="F3" s="320"/>
      <c r="G3" s="65"/>
      <c r="H3" s="65"/>
      <c r="I3" s="321" t="s">
        <v>404</v>
      </c>
      <c r="J3" s="322" t="s">
        <v>405</v>
      </c>
      <c r="K3" s="321" t="s">
        <v>159</v>
      </c>
      <c r="L3" s="321" t="s">
        <v>112</v>
      </c>
      <c r="M3" s="321"/>
      <c r="N3" s="323"/>
      <c r="O3" s="315"/>
    </row>
    <row r="4" spans="1:16" x14ac:dyDescent="0.2">
      <c r="A4" s="324">
        <v>9257010</v>
      </c>
      <c r="B4" s="325" t="s">
        <v>406</v>
      </c>
      <c r="C4" s="326">
        <v>69201.680689977453</v>
      </c>
      <c r="D4" s="327">
        <f>C4*$C$32</f>
        <v>5965.833894800965</v>
      </c>
      <c r="F4" s="320"/>
      <c r="G4" s="328" t="s">
        <v>407</v>
      </c>
      <c r="H4" s="322">
        <v>1765</v>
      </c>
      <c r="I4" s="321">
        <v>18</v>
      </c>
      <c r="J4" s="329">
        <f>I4*$J$2</f>
        <v>72000</v>
      </c>
      <c r="K4" s="329">
        <f>H4*$K$2</f>
        <v>59568.75</v>
      </c>
      <c r="L4" s="330">
        <f>SUM(J4:K4)</f>
        <v>131568.75</v>
      </c>
      <c r="M4" s="330"/>
      <c r="N4" s="323"/>
      <c r="O4" s="315"/>
    </row>
    <row r="5" spans="1:16" x14ac:dyDescent="0.2">
      <c r="A5" s="324">
        <v>9257005</v>
      </c>
      <c r="B5" s="325" t="s">
        <v>408</v>
      </c>
      <c r="C5" s="326">
        <v>117027.3922528728</v>
      </c>
      <c r="D5" s="327">
        <f t="shared" ref="D5:D15" si="0">C5*$C$32</f>
        <v>10088.858772811171</v>
      </c>
      <c r="F5" s="320"/>
      <c r="G5" s="328" t="s">
        <v>409</v>
      </c>
      <c r="H5" s="322">
        <v>70</v>
      </c>
      <c r="I5" s="321">
        <v>1</v>
      </c>
      <c r="J5" s="329">
        <f t="shared" ref="J5:J7" si="1">I5*$J$2</f>
        <v>4000</v>
      </c>
      <c r="K5" s="329">
        <f t="shared" ref="K5:K7" si="2">H5*$K$2</f>
        <v>2362.5</v>
      </c>
      <c r="L5" s="330">
        <f t="shared" ref="L5:L7" si="3">SUM(J5:K5)</f>
        <v>6362.5</v>
      </c>
      <c r="M5" s="330"/>
      <c r="N5" s="323"/>
      <c r="O5" s="315"/>
    </row>
    <row r="6" spans="1:16" x14ac:dyDescent="0.2">
      <c r="A6" s="324">
        <v>9257025</v>
      </c>
      <c r="B6" s="325" t="s">
        <v>410</v>
      </c>
      <c r="C6" s="326">
        <v>88790.687513148558</v>
      </c>
      <c r="D6" s="327">
        <f t="shared" si="0"/>
        <v>7654.5900016752194</v>
      </c>
      <c r="F6" s="320"/>
      <c r="G6" s="328" t="s">
        <v>411</v>
      </c>
      <c r="H6" s="322">
        <v>13</v>
      </c>
      <c r="I6" s="321">
        <v>1</v>
      </c>
      <c r="J6" s="329">
        <f t="shared" si="1"/>
        <v>4000</v>
      </c>
      <c r="K6" s="329">
        <f t="shared" si="2"/>
        <v>438.75</v>
      </c>
      <c r="L6" s="330">
        <f t="shared" si="3"/>
        <v>4438.75</v>
      </c>
      <c r="M6" s="330"/>
      <c r="N6" s="323"/>
      <c r="O6" s="315"/>
    </row>
    <row r="7" spans="1:16" ht="13.5" thickBot="1" x14ac:dyDescent="0.25">
      <c r="A7" s="324">
        <v>9257011</v>
      </c>
      <c r="B7" s="325" t="s">
        <v>412</v>
      </c>
      <c r="C7" s="326">
        <v>88790.687513148558</v>
      </c>
      <c r="D7" s="327">
        <f t="shared" si="0"/>
        <v>7654.5900016752194</v>
      </c>
      <c r="F7" s="320"/>
      <c r="G7" s="328" t="s">
        <v>413</v>
      </c>
      <c r="H7" s="322">
        <v>252</v>
      </c>
      <c r="I7" s="321">
        <v>1</v>
      </c>
      <c r="J7" s="329">
        <f t="shared" si="1"/>
        <v>4000</v>
      </c>
      <c r="K7" s="329">
        <f t="shared" si="2"/>
        <v>8505</v>
      </c>
      <c r="L7" s="330">
        <f t="shared" si="3"/>
        <v>12505</v>
      </c>
      <c r="M7" s="330"/>
      <c r="N7" s="323"/>
      <c r="O7" s="315"/>
    </row>
    <row r="8" spans="1:16" ht="13.5" thickBot="1" x14ac:dyDescent="0.25">
      <c r="A8" s="324">
        <v>9257024</v>
      </c>
      <c r="B8" s="325" t="s">
        <v>414</v>
      </c>
      <c r="C8" s="326">
        <v>69201.680689977453</v>
      </c>
      <c r="D8" s="327">
        <f t="shared" si="0"/>
        <v>5965.833894800965</v>
      </c>
      <c r="F8" s="320"/>
      <c r="G8" s="328"/>
      <c r="H8" s="331">
        <f>SUM(H4:H7)</f>
        <v>2100</v>
      </c>
      <c r="I8" s="322"/>
      <c r="J8" s="330">
        <f>SUM(J4:J7)</f>
        <v>84000</v>
      </c>
      <c r="K8" s="330">
        <f>SUM(K4:K7)</f>
        <v>70875</v>
      </c>
      <c r="L8" s="332">
        <f>SUM(L4:L7)</f>
        <v>154875</v>
      </c>
      <c r="M8" s="333"/>
      <c r="N8" s="323"/>
      <c r="O8" s="315"/>
    </row>
    <row r="9" spans="1:16" x14ac:dyDescent="0.2">
      <c r="A9" s="324">
        <v>9257008</v>
      </c>
      <c r="B9" s="325" t="s">
        <v>415</v>
      </c>
      <c r="C9" s="326">
        <v>88790.687513148558</v>
      </c>
      <c r="D9" s="327">
        <f t="shared" si="0"/>
        <v>7654.5900016752194</v>
      </c>
      <c r="F9" s="320"/>
      <c r="G9" s="328"/>
      <c r="H9" s="322"/>
      <c r="I9" s="322"/>
      <c r="J9" s="322"/>
      <c r="K9" s="322"/>
      <c r="L9" s="322"/>
      <c r="M9" s="322"/>
      <c r="N9" s="323"/>
      <c r="O9" s="315"/>
    </row>
    <row r="10" spans="1:16" ht="13.5" thickBot="1" x14ac:dyDescent="0.25">
      <c r="A10" s="324">
        <v>9257002</v>
      </c>
      <c r="B10" s="325" t="s">
        <v>416</v>
      </c>
      <c r="C10" s="326">
        <v>88790.687513148558</v>
      </c>
      <c r="D10" s="327">
        <f t="shared" si="0"/>
        <v>7654.5900016752194</v>
      </c>
      <c r="F10" s="334"/>
      <c r="G10" s="335"/>
      <c r="H10" s="335"/>
      <c r="I10" s="335"/>
      <c r="J10" s="335"/>
      <c r="K10" s="335"/>
      <c r="L10" s="335"/>
      <c r="M10" s="335"/>
      <c r="N10" s="336"/>
    </row>
    <row r="11" spans="1:16" x14ac:dyDescent="0.2">
      <c r="A11" s="324">
        <v>9257009</v>
      </c>
      <c r="B11" s="325" t="s">
        <v>417</v>
      </c>
      <c r="C11" s="326">
        <v>88790.687513148558</v>
      </c>
      <c r="D11" s="327">
        <f t="shared" si="0"/>
        <v>7654.5900016752194</v>
      </c>
      <c r="G11" s="315"/>
      <c r="H11" s="315"/>
      <c r="I11" s="315"/>
      <c r="J11" s="315"/>
      <c r="K11" s="315"/>
      <c r="L11" s="315"/>
      <c r="M11" s="315"/>
      <c r="N11" s="315"/>
    </row>
    <row r="12" spans="1:16" x14ac:dyDescent="0.2">
      <c r="A12" s="324">
        <v>9257028</v>
      </c>
      <c r="B12" s="325" t="s">
        <v>418</v>
      </c>
      <c r="C12" s="326">
        <v>88790.687513148558</v>
      </c>
      <c r="D12" s="327">
        <f t="shared" si="0"/>
        <v>7654.5900016752194</v>
      </c>
      <c r="J12" s="315" t="s">
        <v>419</v>
      </c>
      <c r="K12" s="315"/>
      <c r="L12" s="226">
        <v>165614.38426611698</v>
      </c>
      <c r="M12" s="315"/>
      <c r="N12" s="315"/>
      <c r="O12" s="315"/>
    </row>
    <row r="13" spans="1:16" x14ac:dyDescent="0.2">
      <c r="A13" s="324">
        <v>9257021</v>
      </c>
      <c r="B13" s="325" t="s">
        <v>420</v>
      </c>
      <c r="C13" s="326">
        <v>117027.3922528728</v>
      </c>
      <c r="D13" s="327">
        <f t="shared" si="0"/>
        <v>10088.858772811171</v>
      </c>
      <c r="J13" s="315"/>
      <c r="K13" s="315"/>
      <c r="L13" s="337"/>
      <c r="M13" s="337"/>
      <c r="N13" s="315"/>
      <c r="O13" s="315"/>
    </row>
    <row r="14" spans="1:16" x14ac:dyDescent="0.2">
      <c r="A14" s="338">
        <v>9257015</v>
      </c>
      <c r="B14" s="325" t="s">
        <v>421</v>
      </c>
      <c r="C14" s="326">
        <v>131719.7894229154</v>
      </c>
      <c r="D14" s="327">
        <f t="shared" si="0"/>
        <v>11355.481203928119</v>
      </c>
      <c r="J14" s="315"/>
      <c r="K14" s="315"/>
      <c r="L14" s="339">
        <f>(L12-J8)/H8</f>
        <v>38.863992507674752</v>
      </c>
      <c r="M14" s="315" t="s">
        <v>422</v>
      </c>
      <c r="N14" s="315"/>
      <c r="O14" s="315"/>
    </row>
    <row r="15" spans="1:16" x14ac:dyDescent="0.2">
      <c r="A15" s="324">
        <v>9257016</v>
      </c>
      <c r="B15" s="325" t="s">
        <v>423</v>
      </c>
      <c r="C15" s="326">
        <v>131719.7894229154</v>
      </c>
      <c r="D15" s="327">
        <f t="shared" si="0"/>
        <v>11355.481203928119</v>
      </c>
      <c r="F15" s="315"/>
      <c r="G15" s="315"/>
      <c r="H15" s="315"/>
      <c r="I15" s="315"/>
      <c r="J15" s="315"/>
      <c r="K15" s="315"/>
      <c r="L15" s="315"/>
      <c r="M15" s="315"/>
      <c r="N15" s="315"/>
      <c r="O15" s="315"/>
      <c r="P15" s="315"/>
    </row>
    <row r="16" spans="1:16" x14ac:dyDescent="0.2">
      <c r="A16" s="324"/>
      <c r="B16" s="325"/>
      <c r="C16" s="340"/>
      <c r="D16" s="341" t="s">
        <v>424</v>
      </c>
      <c r="F16" s="315"/>
      <c r="G16" s="315"/>
      <c r="H16" s="315"/>
      <c r="I16" s="315"/>
      <c r="J16" s="315"/>
      <c r="K16" s="315"/>
      <c r="L16" s="315"/>
      <c r="M16" s="315"/>
      <c r="N16" s="315"/>
      <c r="O16" s="315"/>
      <c r="P16" s="315"/>
    </row>
    <row r="17" spans="1:16" x14ac:dyDescent="0.2">
      <c r="A17" s="324">
        <v>9257031</v>
      </c>
      <c r="B17" s="342" t="s">
        <v>425</v>
      </c>
      <c r="C17" s="326">
        <v>55663.058379368813</v>
      </c>
      <c r="D17" s="327">
        <f>C17*$C$32</f>
        <v>4798.6776774341888</v>
      </c>
      <c r="F17" s="343"/>
      <c r="G17" s="343"/>
      <c r="H17" s="226" t="s">
        <v>73</v>
      </c>
      <c r="I17" s="226" t="s">
        <v>426</v>
      </c>
      <c r="J17" s="226" t="s">
        <v>427</v>
      </c>
      <c r="K17" s="226" t="s">
        <v>112</v>
      </c>
      <c r="L17" s="226"/>
      <c r="M17" s="226"/>
      <c r="N17" s="226"/>
      <c r="O17" s="315"/>
      <c r="P17" s="315"/>
    </row>
    <row r="18" spans="1:16" x14ac:dyDescent="0.2">
      <c r="A18" s="324">
        <v>9257029</v>
      </c>
      <c r="B18" s="342" t="s">
        <v>428</v>
      </c>
      <c r="C18" s="326">
        <v>55663.058379368813</v>
      </c>
      <c r="D18" s="327">
        <f>C18*$C$32</f>
        <v>4798.6776774341888</v>
      </c>
      <c r="F18" s="343">
        <v>9257010</v>
      </c>
      <c r="G18" s="343" t="s">
        <v>429</v>
      </c>
      <c r="H18" s="344">
        <v>56</v>
      </c>
      <c r="I18" s="226">
        <v>4000</v>
      </c>
      <c r="J18" s="226">
        <f>H18*$I$54</f>
        <v>2176.16</v>
      </c>
      <c r="K18" s="225">
        <f>I18+J18</f>
        <v>6176.16</v>
      </c>
      <c r="L18" s="226"/>
      <c r="M18" s="226"/>
      <c r="N18" s="226"/>
      <c r="O18" s="315"/>
      <c r="P18" s="315"/>
    </row>
    <row r="19" spans="1:16" x14ac:dyDescent="0.2">
      <c r="A19" s="324">
        <v>9257032</v>
      </c>
      <c r="B19" s="342" t="s">
        <v>430</v>
      </c>
      <c r="C19" s="326">
        <v>58044.118057617408</v>
      </c>
      <c r="D19" s="327">
        <f>C19*$C$32</f>
        <v>5003.9473528583676</v>
      </c>
      <c r="F19" s="343">
        <v>9257005</v>
      </c>
      <c r="G19" s="343" t="s">
        <v>431</v>
      </c>
      <c r="H19" s="344">
        <v>70.833333333333329</v>
      </c>
      <c r="I19" s="226">
        <v>4000</v>
      </c>
      <c r="J19" s="226">
        <f t="shared" ref="J19:J40" si="4">H19*$I$54</f>
        <v>2752.583333333333</v>
      </c>
      <c r="K19" s="225">
        <f t="shared" ref="K19:K35" si="5">I19+J19</f>
        <v>6752.583333333333</v>
      </c>
      <c r="L19" s="226"/>
      <c r="M19" s="226"/>
      <c r="N19" s="226"/>
      <c r="O19" s="315"/>
      <c r="P19" s="315"/>
    </row>
    <row r="20" spans="1:16" x14ac:dyDescent="0.2">
      <c r="A20" s="324">
        <v>9257030</v>
      </c>
      <c r="B20" s="342" t="s">
        <v>432</v>
      </c>
      <c r="C20" s="326">
        <v>58044.118057617408</v>
      </c>
      <c r="D20" s="327">
        <f>C20*$C$32</f>
        <v>5003.9473528583676</v>
      </c>
      <c r="F20" s="343">
        <v>9257025</v>
      </c>
      <c r="G20" s="343" t="s">
        <v>433</v>
      </c>
      <c r="H20" s="344">
        <v>66.166666666666671</v>
      </c>
      <c r="I20" s="226">
        <v>4000</v>
      </c>
      <c r="J20" s="226">
        <f t="shared" si="4"/>
        <v>2571.2366666666667</v>
      </c>
      <c r="K20" s="225">
        <f t="shared" si="5"/>
        <v>6571.2366666666667</v>
      </c>
      <c r="L20" s="226"/>
      <c r="M20" s="226"/>
      <c r="N20" s="226"/>
      <c r="O20" s="315"/>
      <c r="P20" s="315"/>
    </row>
    <row r="21" spans="1:16" x14ac:dyDescent="0.2">
      <c r="A21" s="324"/>
      <c r="B21" s="342"/>
      <c r="C21" s="326"/>
      <c r="D21" s="341" t="s">
        <v>424</v>
      </c>
      <c r="F21" s="343">
        <v>9257011</v>
      </c>
      <c r="G21" s="343" t="s">
        <v>412</v>
      </c>
      <c r="H21" s="344">
        <v>57.416666666666664</v>
      </c>
      <c r="I21" s="226">
        <v>4000</v>
      </c>
      <c r="J21" s="226">
        <f t="shared" si="4"/>
        <v>2231.2116666666666</v>
      </c>
      <c r="K21" s="225">
        <f t="shared" si="5"/>
        <v>6231.2116666666661</v>
      </c>
      <c r="L21" s="226"/>
      <c r="M21" s="226"/>
      <c r="N21" s="226"/>
      <c r="O21" s="315"/>
      <c r="P21" s="315"/>
    </row>
    <row r="22" spans="1:16" x14ac:dyDescent="0.2">
      <c r="A22" s="324">
        <v>9257033</v>
      </c>
      <c r="B22" s="325" t="s">
        <v>434</v>
      </c>
      <c r="C22" s="326">
        <v>69201.680689977453</v>
      </c>
      <c r="D22" s="327">
        <f>C22*$C$32</f>
        <v>5965.833894800965</v>
      </c>
      <c r="F22" s="343">
        <v>9257024</v>
      </c>
      <c r="G22" s="343" t="s">
        <v>435</v>
      </c>
      <c r="H22" s="344">
        <v>74.833333333333343</v>
      </c>
      <c r="I22" s="226">
        <v>4000</v>
      </c>
      <c r="J22" s="226">
        <f t="shared" si="4"/>
        <v>2908.0233333333335</v>
      </c>
      <c r="K22" s="225">
        <f t="shared" si="5"/>
        <v>6908.0233333333335</v>
      </c>
      <c r="L22" s="226"/>
      <c r="M22" s="226"/>
      <c r="N22" s="226"/>
      <c r="O22" s="315"/>
      <c r="P22" s="315"/>
    </row>
    <row r="23" spans="1:16" x14ac:dyDescent="0.2">
      <c r="A23" s="324">
        <v>9257034</v>
      </c>
      <c r="B23" s="325" t="s">
        <v>436</v>
      </c>
      <c r="C23" s="326">
        <v>117027.3922528728</v>
      </c>
      <c r="D23" s="327">
        <f>C23*$C$32</f>
        <v>10088.858772811171</v>
      </c>
      <c r="F23" s="343">
        <v>9257008</v>
      </c>
      <c r="G23" s="343" t="s">
        <v>437</v>
      </c>
      <c r="H23" s="344">
        <v>92.916666666666671</v>
      </c>
      <c r="I23" s="226">
        <v>4000</v>
      </c>
      <c r="J23" s="226">
        <f t="shared" si="4"/>
        <v>3610.7416666666668</v>
      </c>
      <c r="K23" s="225">
        <f t="shared" si="5"/>
        <v>7610.7416666666668</v>
      </c>
      <c r="L23" s="226"/>
      <c r="M23" s="226"/>
      <c r="N23" s="226"/>
      <c r="O23" s="315"/>
      <c r="P23" s="315"/>
    </row>
    <row r="24" spans="1:16" ht="15" x14ac:dyDescent="0.25">
      <c r="A24" s="345"/>
      <c r="B24" s="346"/>
      <c r="C24" s="347"/>
      <c r="D24" s="307"/>
      <c r="F24" s="343">
        <v>9257002</v>
      </c>
      <c r="G24" s="343" t="s">
        <v>438</v>
      </c>
      <c r="H24" s="344">
        <v>143.16666666666669</v>
      </c>
      <c r="I24" s="226">
        <v>4000</v>
      </c>
      <c r="J24" s="226">
        <f t="shared" si="4"/>
        <v>5563.4566666666669</v>
      </c>
      <c r="K24" s="225">
        <f t="shared" si="5"/>
        <v>9563.4566666666669</v>
      </c>
      <c r="L24" s="226"/>
      <c r="M24" s="226"/>
      <c r="N24" s="226"/>
      <c r="O24" s="315"/>
      <c r="P24" s="315"/>
    </row>
    <row r="25" spans="1:16" x14ac:dyDescent="0.2">
      <c r="A25" s="324">
        <v>9257012</v>
      </c>
      <c r="B25" s="325" t="s">
        <v>439</v>
      </c>
      <c r="C25" s="340">
        <v>88791</v>
      </c>
      <c r="D25" s="327">
        <f>C25*$C$32</f>
        <v>7654.6169409725226</v>
      </c>
      <c r="F25" s="343">
        <v>9257009</v>
      </c>
      <c r="G25" s="343" t="s">
        <v>440</v>
      </c>
      <c r="H25" s="344">
        <v>131.33333333333334</v>
      </c>
      <c r="I25" s="226">
        <v>4000</v>
      </c>
      <c r="J25" s="226">
        <f t="shared" si="4"/>
        <v>5103.6133333333337</v>
      </c>
      <c r="K25" s="225">
        <f t="shared" si="5"/>
        <v>9103.6133333333346</v>
      </c>
      <c r="L25" s="226"/>
      <c r="M25" s="226"/>
      <c r="N25" s="226"/>
      <c r="O25" s="315"/>
      <c r="P25" s="315"/>
    </row>
    <row r="26" spans="1:16" x14ac:dyDescent="0.2">
      <c r="A26" s="324">
        <v>9257003</v>
      </c>
      <c r="B26" s="325" t="s">
        <v>411</v>
      </c>
      <c r="C26" s="340">
        <v>18682</v>
      </c>
      <c r="D26" s="327">
        <f>C26*$C$32</f>
        <v>1610.5636122044878</v>
      </c>
      <c r="F26" s="343">
        <v>9257028</v>
      </c>
      <c r="G26" s="343" t="s">
        <v>418</v>
      </c>
      <c r="H26" s="344">
        <v>79.25</v>
      </c>
      <c r="I26" s="226">
        <v>4000</v>
      </c>
      <c r="J26" s="226">
        <f t="shared" si="4"/>
        <v>3079.6549999999997</v>
      </c>
      <c r="K26" s="225">
        <f t="shared" si="5"/>
        <v>7079.6549999999997</v>
      </c>
      <c r="L26" s="226"/>
      <c r="M26" s="226"/>
      <c r="N26" s="226"/>
      <c r="O26" s="315"/>
      <c r="P26" s="315"/>
    </row>
    <row r="27" spans="1:16" x14ac:dyDescent="0.2">
      <c r="A27" s="324">
        <v>9251105</v>
      </c>
      <c r="B27" s="325" t="s">
        <v>413</v>
      </c>
      <c r="C27" s="340">
        <v>236900</v>
      </c>
      <c r="D27" s="327">
        <f>C27*$C$32</f>
        <v>20423.001805547756</v>
      </c>
      <c r="F27" s="343">
        <v>9257021</v>
      </c>
      <c r="G27" s="343" t="s">
        <v>441</v>
      </c>
      <c r="H27" s="344">
        <v>154.5</v>
      </c>
      <c r="I27" s="226">
        <v>4000</v>
      </c>
      <c r="J27" s="226">
        <f t="shared" si="4"/>
        <v>6003.87</v>
      </c>
      <c r="K27" s="225">
        <f t="shared" si="5"/>
        <v>10003.869999999999</v>
      </c>
      <c r="L27" s="226"/>
      <c r="M27" s="226"/>
      <c r="N27" s="226"/>
      <c r="O27" s="315"/>
      <c r="P27" s="315"/>
    </row>
    <row r="28" spans="1:16" ht="15" x14ac:dyDescent="0.25">
      <c r="A28" s="345"/>
      <c r="B28" s="346"/>
      <c r="C28" s="347"/>
      <c r="D28" s="307"/>
      <c r="F28" s="343">
        <v>9257015</v>
      </c>
      <c r="G28" s="343" t="s">
        <v>421</v>
      </c>
      <c r="H28" s="344">
        <v>249.00000000000003</v>
      </c>
      <c r="I28" s="226">
        <v>4000</v>
      </c>
      <c r="J28" s="226">
        <f t="shared" si="4"/>
        <v>9676.1400000000012</v>
      </c>
      <c r="K28" s="225">
        <f t="shared" si="5"/>
        <v>13676.140000000001</v>
      </c>
      <c r="L28" s="226"/>
      <c r="M28" s="226"/>
      <c r="N28" s="226"/>
      <c r="O28" s="315"/>
      <c r="P28" s="315"/>
    </row>
    <row r="29" spans="1:16" ht="15.75" thickBot="1" x14ac:dyDescent="0.3">
      <c r="A29" s="345"/>
      <c r="B29" s="307"/>
      <c r="C29" s="348">
        <f>SUM(C4:C28)</f>
        <v>1926658.2756272454</v>
      </c>
      <c r="D29" s="348">
        <f>SUM(D4:D28)</f>
        <v>166096.01284005382</v>
      </c>
      <c r="F29" s="343">
        <v>9257016</v>
      </c>
      <c r="G29" s="343" t="s">
        <v>423</v>
      </c>
      <c r="H29" s="344">
        <v>142.5</v>
      </c>
      <c r="I29" s="226">
        <v>4000</v>
      </c>
      <c r="J29" s="226">
        <f t="shared" si="4"/>
        <v>5537.55</v>
      </c>
      <c r="K29" s="225">
        <f t="shared" si="5"/>
        <v>9537.5499999999993</v>
      </c>
      <c r="L29" s="226"/>
      <c r="M29" s="226"/>
      <c r="N29" s="226"/>
      <c r="O29" s="315"/>
      <c r="P29" s="315"/>
    </row>
    <row r="30" spans="1:16" ht="15" x14ac:dyDescent="0.25">
      <c r="A30" s="345"/>
      <c r="B30" s="349"/>
      <c r="C30" s="350"/>
      <c r="D30" s="307"/>
      <c r="F30" s="343">
        <v>9257031</v>
      </c>
      <c r="G30" s="343" t="s">
        <v>442</v>
      </c>
      <c r="H30" s="344">
        <v>71.166666666666671</v>
      </c>
      <c r="I30" s="226">
        <v>4000</v>
      </c>
      <c r="J30" s="226">
        <f t="shared" si="4"/>
        <v>2765.5366666666669</v>
      </c>
      <c r="K30" s="225">
        <f t="shared" si="5"/>
        <v>6765.5366666666669</v>
      </c>
      <c r="L30" s="226"/>
      <c r="M30" s="226"/>
      <c r="N30" s="226"/>
      <c r="O30" s="315"/>
      <c r="P30" s="315"/>
    </row>
    <row r="31" spans="1:16" x14ac:dyDescent="0.2">
      <c r="B31" t="s">
        <v>443</v>
      </c>
      <c r="C31" s="351">
        <v>166096.01284005385</v>
      </c>
      <c r="F31" s="343">
        <v>9257029</v>
      </c>
      <c r="G31" s="343" t="s">
        <v>444</v>
      </c>
      <c r="H31" s="344">
        <v>41.833333333333336</v>
      </c>
      <c r="I31" s="226">
        <v>4000</v>
      </c>
      <c r="J31" s="226">
        <f t="shared" si="4"/>
        <v>1625.6433333333334</v>
      </c>
      <c r="K31" s="225">
        <f t="shared" si="5"/>
        <v>5625.6433333333334</v>
      </c>
      <c r="L31" s="226"/>
      <c r="M31" s="226"/>
      <c r="N31" s="226"/>
      <c r="O31" s="315"/>
      <c r="P31" s="315"/>
    </row>
    <row r="32" spans="1:16" x14ac:dyDescent="0.2">
      <c r="B32" t="s">
        <v>445</v>
      </c>
      <c r="C32" s="352">
        <f>C31/C29</f>
        <v>8.6209378664194827E-2</v>
      </c>
      <c r="F32" s="343">
        <v>9257032</v>
      </c>
      <c r="G32" s="343" t="s">
        <v>446</v>
      </c>
      <c r="H32" s="344">
        <v>61.166666666666671</v>
      </c>
      <c r="I32" s="226">
        <v>4000</v>
      </c>
      <c r="J32" s="226">
        <f t="shared" si="4"/>
        <v>2376.936666666667</v>
      </c>
      <c r="K32" s="225">
        <f t="shared" si="5"/>
        <v>6376.9366666666665</v>
      </c>
      <c r="L32" s="226"/>
      <c r="M32" s="226"/>
      <c r="N32" s="226"/>
      <c r="O32" s="315"/>
      <c r="P32" s="315"/>
    </row>
    <row r="33" spans="6:16" x14ac:dyDescent="0.2">
      <c r="F33" s="343">
        <v>9257030</v>
      </c>
      <c r="G33" s="343" t="s">
        <v>447</v>
      </c>
      <c r="H33" s="344">
        <v>70</v>
      </c>
      <c r="I33" s="226">
        <v>4000</v>
      </c>
      <c r="J33" s="226">
        <f t="shared" si="4"/>
        <v>2720.2</v>
      </c>
      <c r="K33" s="225">
        <f t="shared" si="5"/>
        <v>6720.2</v>
      </c>
      <c r="L33" s="226"/>
      <c r="M33" s="226"/>
      <c r="N33" s="226"/>
      <c r="O33" s="315"/>
      <c r="P33" s="315"/>
    </row>
    <row r="34" spans="6:16" x14ac:dyDescent="0.2">
      <c r="F34" s="343">
        <v>9257033</v>
      </c>
      <c r="G34" s="343" t="s">
        <v>448</v>
      </c>
      <c r="H34" s="344">
        <v>89.666666666666671</v>
      </c>
      <c r="I34" s="226">
        <v>4000</v>
      </c>
      <c r="J34" s="226">
        <f t="shared" si="4"/>
        <v>3484.4466666666667</v>
      </c>
      <c r="K34" s="225">
        <f t="shared" si="5"/>
        <v>7484.4466666666667</v>
      </c>
      <c r="L34" s="226"/>
      <c r="M34" s="226"/>
      <c r="N34" s="226"/>
      <c r="O34" s="315"/>
      <c r="P34" s="315"/>
    </row>
    <row r="35" spans="6:16" x14ac:dyDescent="0.2">
      <c r="F35" s="343">
        <v>9257034</v>
      </c>
      <c r="G35" s="343" t="s">
        <v>449</v>
      </c>
      <c r="H35" s="344">
        <v>113.33333333333334</v>
      </c>
      <c r="I35" s="226">
        <v>4000</v>
      </c>
      <c r="J35" s="226">
        <f t="shared" si="4"/>
        <v>4404.1333333333332</v>
      </c>
      <c r="K35" s="225">
        <f t="shared" si="5"/>
        <v>8404.1333333333332</v>
      </c>
      <c r="L35" s="226"/>
      <c r="M35" s="226"/>
      <c r="N35" s="226"/>
      <c r="O35" s="315"/>
      <c r="P35" s="315"/>
    </row>
    <row r="36" spans="6:16" x14ac:dyDescent="0.2">
      <c r="F36" s="343"/>
      <c r="G36" s="343"/>
      <c r="H36" s="353">
        <f>SUM(H18:H35)</f>
        <v>1765.0833333333335</v>
      </c>
      <c r="I36" s="354">
        <f>SUM(I18:I35)</f>
        <v>72000</v>
      </c>
      <c r="J36" s="354">
        <f>SUM(J18:J35)</f>
        <v>68591.138333333336</v>
      </c>
      <c r="K36" s="354">
        <f>SUM(K18:K35)</f>
        <v>140591.13833333331</v>
      </c>
      <c r="L36" s="226"/>
      <c r="M36" s="226"/>
      <c r="N36" s="226"/>
      <c r="O36" s="315"/>
      <c r="P36" s="315"/>
    </row>
    <row r="37" spans="6:16" x14ac:dyDescent="0.2">
      <c r="F37" s="343"/>
      <c r="G37" s="343"/>
      <c r="H37" s="344"/>
      <c r="I37" s="226"/>
      <c r="J37" s="226"/>
      <c r="K37" s="226"/>
      <c r="L37" s="226"/>
      <c r="M37" s="226"/>
      <c r="N37" s="226"/>
      <c r="O37" s="315"/>
      <c r="P37" s="315"/>
    </row>
    <row r="38" spans="6:16" x14ac:dyDescent="0.2">
      <c r="F38" s="315"/>
      <c r="G38" s="343" t="s">
        <v>409</v>
      </c>
      <c r="H38" s="355">
        <v>70</v>
      </c>
      <c r="I38" s="226">
        <v>4000</v>
      </c>
      <c r="J38" s="226">
        <f t="shared" si="4"/>
        <v>2720.2</v>
      </c>
      <c r="K38" s="225">
        <f t="shared" ref="K38:K40" si="6">I38+J38</f>
        <v>6720.2</v>
      </c>
      <c r="L38" s="226"/>
      <c r="M38" s="226"/>
      <c r="N38" s="226"/>
      <c r="O38" s="315"/>
      <c r="P38" s="315"/>
    </row>
    <row r="39" spans="6:16" x14ac:dyDescent="0.2">
      <c r="F39" s="315"/>
      <c r="G39" s="343" t="s">
        <v>411</v>
      </c>
      <c r="H39" s="355">
        <v>13</v>
      </c>
      <c r="I39" s="226">
        <v>4000</v>
      </c>
      <c r="J39" s="226">
        <f t="shared" si="4"/>
        <v>505.18</v>
      </c>
      <c r="K39" s="225">
        <f t="shared" si="6"/>
        <v>4505.18</v>
      </c>
      <c r="L39" s="226"/>
      <c r="M39" s="226"/>
      <c r="N39" s="226"/>
      <c r="O39" s="315"/>
      <c r="P39" s="315"/>
    </row>
    <row r="40" spans="6:16" x14ac:dyDescent="0.2">
      <c r="F40" s="315"/>
      <c r="G40" s="343" t="s">
        <v>413</v>
      </c>
      <c r="H40" s="355">
        <v>252</v>
      </c>
      <c r="I40" s="226">
        <v>4000</v>
      </c>
      <c r="J40" s="226">
        <f t="shared" si="4"/>
        <v>9792.7199999999993</v>
      </c>
      <c r="K40" s="225">
        <f t="shared" si="6"/>
        <v>13792.72</v>
      </c>
      <c r="L40" s="226"/>
      <c r="M40" s="226"/>
      <c r="N40" s="226"/>
      <c r="O40" s="315"/>
      <c r="P40" s="315"/>
    </row>
    <row r="41" spans="6:16" ht="13.5" thickBot="1" x14ac:dyDescent="0.25">
      <c r="F41" s="315"/>
      <c r="G41" s="315"/>
      <c r="H41" s="356">
        <f>SUM(H36:H40)</f>
        <v>2100.0833333333335</v>
      </c>
      <c r="I41" s="357">
        <f>SUM(I36:I40)</f>
        <v>84000</v>
      </c>
      <c r="J41" s="357">
        <f>SUM(J36:J40)</f>
        <v>81609.238333333327</v>
      </c>
      <c r="K41" s="226">
        <f>SUM(I41:J41)</f>
        <v>165609.23833333334</v>
      </c>
      <c r="L41" s="226"/>
      <c r="M41" s="226" t="s">
        <v>450</v>
      </c>
      <c r="N41" s="226">
        <f>L12-K41</f>
        <v>5.1459327836346347</v>
      </c>
      <c r="O41" s="315" t="s">
        <v>451</v>
      </c>
      <c r="P41" s="315"/>
    </row>
    <row r="42" spans="6:16" x14ac:dyDescent="0.2">
      <c r="F42" s="315"/>
      <c r="G42" s="315"/>
      <c r="H42" s="226"/>
      <c r="I42" s="226"/>
      <c r="J42" s="226"/>
      <c r="K42" s="226"/>
      <c r="L42" s="226"/>
      <c r="M42" s="226"/>
      <c r="N42" s="226"/>
      <c r="O42" s="315"/>
      <c r="P42" s="315"/>
    </row>
    <row r="43" spans="6:16" x14ac:dyDescent="0.2">
      <c r="F43" s="315"/>
      <c r="G43" s="343" t="s">
        <v>452</v>
      </c>
      <c r="H43" s="339">
        <v>33.75</v>
      </c>
      <c r="I43" s="226">
        <f>H43*H41</f>
        <v>70877.8125</v>
      </c>
      <c r="J43" s="315"/>
      <c r="K43" s="315"/>
      <c r="L43" s="315"/>
      <c r="M43" s="315"/>
      <c r="N43" s="315"/>
      <c r="O43" s="315"/>
      <c r="P43" s="315"/>
    </row>
    <row r="44" spans="6:16" x14ac:dyDescent="0.2">
      <c r="H44" s="305"/>
      <c r="I44" s="13"/>
    </row>
    <row r="45" spans="6:16" x14ac:dyDescent="0.2">
      <c r="G45" s="337" t="s">
        <v>419</v>
      </c>
      <c r="H45" s="226"/>
      <c r="I45" s="226">
        <f>I41+I43</f>
        <v>154877.8125</v>
      </c>
    </row>
    <row r="46" spans="6:16" x14ac:dyDescent="0.2">
      <c r="G46" s="337"/>
      <c r="H46" s="337"/>
      <c r="I46" s="226"/>
    </row>
    <row r="47" spans="6:16" x14ac:dyDescent="0.2">
      <c r="G47" s="358" t="s">
        <v>453</v>
      </c>
      <c r="H47" s="358"/>
      <c r="I47" s="359">
        <v>165617.39179125501</v>
      </c>
    </row>
    <row r="48" spans="6:16" x14ac:dyDescent="0.2">
      <c r="G48" s="337"/>
      <c r="H48" s="337"/>
      <c r="I48" s="337"/>
    </row>
    <row r="49" spans="7:10" x14ac:dyDescent="0.2">
      <c r="G49" s="337" t="s">
        <v>454</v>
      </c>
      <c r="H49" s="337"/>
      <c r="I49" s="226">
        <f>I47-I45</f>
        <v>10739.57929125501</v>
      </c>
    </row>
    <row r="50" spans="7:10" ht="13.5" thickBot="1" x14ac:dyDescent="0.25">
      <c r="G50" s="337"/>
      <c r="H50" s="337"/>
      <c r="I50" s="337"/>
    </row>
    <row r="51" spans="7:10" ht="13.5" thickBot="1" x14ac:dyDescent="0.25">
      <c r="G51" s="337" t="s">
        <v>455</v>
      </c>
      <c r="H51" s="1"/>
      <c r="I51" s="360">
        <f>I49/H41</f>
        <v>5.1138824449450464</v>
      </c>
    </row>
    <row r="52" spans="7:10" x14ac:dyDescent="0.2">
      <c r="H52" s="361"/>
      <c r="I52" s="362"/>
    </row>
    <row r="53" spans="7:10" ht="13.5" thickBot="1" x14ac:dyDescent="0.25">
      <c r="G53" s="315" t="s">
        <v>456</v>
      </c>
      <c r="H53" s="315"/>
      <c r="I53" s="339">
        <f>I51+H43</f>
        <v>38.863882444945048</v>
      </c>
      <c r="J53" s="315"/>
    </row>
    <row r="54" spans="7:10" ht="13.5" thickBot="1" x14ac:dyDescent="0.25">
      <c r="G54" s="315"/>
      <c r="H54" s="315" t="s">
        <v>457</v>
      </c>
      <c r="I54" s="363">
        <v>38.86</v>
      </c>
      <c r="J54" s="315"/>
    </row>
    <row r="55" spans="7:10" x14ac:dyDescent="0.2">
      <c r="G55" s="315"/>
      <c r="H55" s="315"/>
      <c r="I55" s="315"/>
      <c r="J55" s="315"/>
    </row>
    <row r="56" spans="7:10" x14ac:dyDescent="0.2">
      <c r="G56" s="315"/>
      <c r="H56" s="315"/>
      <c r="I56" s="315"/>
      <c r="J56" s="31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topLeftCell="A27" zoomScale="85" zoomScaleNormal="85" workbookViewId="0">
      <selection activeCell="A49" sqref="A49"/>
    </sheetView>
  </sheetViews>
  <sheetFormatPr defaultRowHeight="12.75" x14ac:dyDescent="0.2"/>
  <cols>
    <col min="1" max="1" width="40.7109375" customWidth="1"/>
    <col min="2" max="2" width="17.85546875" customWidth="1"/>
    <col min="3" max="3" width="40.7109375" customWidth="1"/>
    <col min="4" max="5" width="17.85546875" customWidth="1"/>
    <col min="6" max="6" width="22.140625" customWidth="1"/>
    <col min="7" max="7" width="10.28515625" bestFit="1" customWidth="1"/>
    <col min="9" max="9" width="14.28515625" customWidth="1"/>
    <col min="11" max="11" width="10.140625" customWidth="1"/>
  </cols>
  <sheetData>
    <row r="1" spans="1:8" x14ac:dyDescent="0.2">
      <c r="D1" s="1"/>
      <c r="E1" s="1"/>
      <c r="F1" s="1"/>
    </row>
    <row r="2" spans="1:8" x14ac:dyDescent="0.2">
      <c r="A2" s="45" t="s">
        <v>90</v>
      </c>
    </row>
    <row r="4" spans="1:8" x14ac:dyDescent="0.2">
      <c r="A4" s="2" t="s">
        <v>0</v>
      </c>
    </row>
    <row r="6" spans="1:8" ht="25.5" x14ac:dyDescent="0.2">
      <c r="A6" s="3" t="s">
        <v>1</v>
      </c>
      <c r="B6" s="3"/>
      <c r="C6" s="4" t="s">
        <v>2</v>
      </c>
      <c r="D6" s="5"/>
    </row>
    <row r="7" spans="1:8" x14ac:dyDescent="0.2">
      <c r="A7" s="68" t="s">
        <v>3</v>
      </c>
      <c r="B7" s="69">
        <v>343503.16666666669</v>
      </c>
      <c r="C7" s="70" t="s">
        <v>4</v>
      </c>
      <c r="D7" s="71">
        <v>19235.333333333332</v>
      </c>
    </row>
    <row r="8" spans="1:8" x14ac:dyDescent="0.2">
      <c r="A8" s="68" t="s">
        <v>5</v>
      </c>
      <c r="B8" s="69">
        <v>22841.228999999999</v>
      </c>
      <c r="C8" s="72" t="s">
        <v>6</v>
      </c>
      <c r="D8" s="71">
        <v>55935.833333333336</v>
      </c>
      <c r="F8" s="2" t="s">
        <v>7</v>
      </c>
    </row>
    <row r="9" spans="1:8" x14ac:dyDescent="0.2">
      <c r="A9" s="68" t="s">
        <v>8</v>
      </c>
      <c r="B9" s="69">
        <v>34683</v>
      </c>
      <c r="C9" s="72" t="s">
        <v>9</v>
      </c>
      <c r="D9" s="71">
        <v>32816.52732240437</v>
      </c>
      <c r="F9" s="2" t="s">
        <v>10</v>
      </c>
      <c r="G9" s="7">
        <v>30</v>
      </c>
    </row>
    <row r="10" spans="1:8" x14ac:dyDescent="0.2">
      <c r="A10" s="68" t="s">
        <v>11</v>
      </c>
      <c r="B10" s="69">
        <v>45533.416666666664</v>
      </c>
      <c r="C10" s="72" t="s">
        <v>12</v>
      </c>
      <c r="D10" s="71">
        <v>3583.3333333333335</v>
      </c>
      <c r="F10" s="2" t="s">
        <v>13</v>
      </c>
      <c r="G10" s="7">
        <v>30</v>
      </c>
    </row>
    <row r="11" spans="1:8" x14ac:dyDescent="0.2">
      <c r="A11" s="68" t="s">
        <v>14</v>
      </c>
      <c r="B11" s="69">
        <v>37062.25</v>
      </c>
      <c r="C11" s="72" t="s">
        <v>15</v>
      </c>
      <c r="D11" s="71">
        <v>3583.3333333333335</v>
      </c>
      <c r="F11" s="2" t="s">
        <v>16</v>
      </c>
      <c r="G11" s="7">
        <v>30</v>
      </c>
    </row>
    <row r="12" spans="1:8" x14ac:dyDescent="0.2">
      <c r="A12" s="68" t="s">
        <v>17</v>
      </c>
      <c r="B12" s="69">
        <v>1271</v>
      </c>
      <c r="C12" s="72" t="s">
        <v>18</v>
      </c>
      <c r="D12" s="71">
        <v>13846</v>
      </c>
      <c r="F12" s="2" t="s">
        <v>19</v>
      </c>
      <c r="G12" s="7">
        <v>20</v>
      </c>
    </row>
    <row r="13" spans="1:8" ht="13.5" thickBot="1" x14ac:dyDescent="0.25">
      <c r="A13" s="68" t="s">
        <v>20</v>
      </c>
      <c r="B13" s="69">
        <v>55427</v>
      </c>
      <c r="C13" s="72" t="s">
        <v>21</v>
      </c>
      <c r="D13" s="71">
        <v>11645.833333333334</v>
      </c>
      <c r="G13" s="8">
        <f>SUM(G9:G12)</f>
        <v>110</v>
      </c>
    </row>
    <row r="14" spans="1:8" x14ac:dyDescent="0.2">
      <c r="A14" s="68" t="s">
        <v>22</v>
      </c>
      <c r="B14" s="69">
        <v>17462</v>
      </c>
      <c r="C14" s="72" t="s">
        <v>23</v>
      </c>
      <c r="D14" s="71">
        <v>8958.3333333333339</v>
      </c>
      <c r="G14" s="9"/>
    </row>
    <row r="15" spans="1:8" x14ac:dyDescent="0.2">
      <c r="A15" s="68" t="s">
        <v>24</v>
      </c>
      <c r="B15" s="69">
        <v>16371</v>
      </c>
      <c r="C15" s="72" t="s">
        <v>25</v>
      </c>
      <c r="D15" s="71">
        <v>895.83333333333337</v>
      </c>
      <c r="F15" s="10" t="s">
        <v>26</v>
      </c>
      <c r="G15" s="11">
        <v>12431.498557692306</v>
      </c>
      <c r="H15" s="12" t="s">
        <v>27</v>
      </c>
    </row>
    <row r="16" spans="1:8" x14ac:dyDescent="0.2">
      <c r="A16" s="73"/>
      <c r="B16" s="73"/>
      <c r="C16" s="72" t="s">
        <v>28</v>
      </c>
      <c r="D16" s="71">
        <v>17916.666666666668</v>
      </c>
      <c r="F16" s="12" t="s">
        <v>29</v>
      </c>
      <c r="G16" s="10"/>
      <c r="H16" s="10"/>
    </row>
    <row r="17" spans="1:6" x14ac:dyDescent="0.2">
      <c r="A17" s="73"/>
      <c r="B17" s="73"/>
      <c r="C17" s="72" t="s">
        <v>30</v>
      </c>
      <c r="D17" s="71">
        <v>10750</v>
      </c>
    </row>
    <row r="18" spans="1:6" x14ac:dyDescent="0.2">
      <c r="A18" s="73"/>
      <c r="B18" s="73"/>
      <c r="C18" s="70" t="s">
        <v>31</v>
      </c>
      <c r="D18" s="71">
        <v>2974.1666666666665</v>
      </c>
    </row>
    <row r="19" spans="1:6" x14ac:dyDescent="0.2">
      <c r="A19" s="73"/>
      <c r="B19" s="73"/>
      <c r="C19" s="74" t="s">
        <v>32</v>
      </c>
      <c r="D19" s="71">
        <v>35000</v>
      </c>
    </row>
    <row r="20" spans="1:6" x14ac:dyDescent="0.2">
      <c r="A20" s="73"/>
      <c r="B20" s="73"/>
      <c r="C20" s="74" t="s">
        <v>33</v>
      </c>
      <c r="D20" s="71">
        <v>30851</v>
      </c>
    </row>
    <row r="21" spans="1:6" x14ac:dyDescent="0.2">
      <c r="A21" s="73"/>
      <c r="B21" s="73"/>
      <c r="C21" s="76"/>
      <c r="D21" s="77"/>
    </row>
    <row r="22" spans="1:6" x14ac:dyDescent="0.2">
      <c r="A22" s="18" t="s">
        <v>103</v>
      </c>
    </row>
    <row r="24" spans="1:6" x14ac:dyDescent="0.2">
      <c r="A24" s="2" t="s">
        <v>34</v>
      </c>
      <c r="B24" s="13">
        <f>SUM(B7:B15)</f>
        <v>574154.06233333331</v>
      </c>
      <c r="D24" s="2" t="s">
        <v>7</v>
      </c>
    </row>
    <row r="25" spans="1:6" x14ac:dyDescent="0.2">
      <c r="A25" s="2" t="s">
        <v>35</v>
      </c>
      <c r="B25" s="13">
        <f>SUM(D7:D19)</f>
        <v>217141.19398907103</v>
      </c>
      <c r="D25" s="2" t="s">
        <v>10</v>
      </c>
      <c r="E25" s="7">
        <v>30</v>
      </c>
    </row>
    <row r="26" spans="1:6" x14ac:dyDescent="0.2">
      <c r="A26" s="2" t="s">
        <v>36</v>
      </c>
      <c r="B26" s="13">
        <f>E29*G15</f>
        <v>1263869.0200320513</v>
      </c>
      <c r="C26" s="1"/>
      <c r="D26" s="2" t="s">
        <v>13</v>
      </c>
      <c r="E26" s="7">
        <v>30</v>
      </c>
    </row>
    <row r="27" spans="1:6" x14ac:dyDescent="0.2">
      <c r="A27" s="2" t="s">
        <v>33</v>
      </c>
      <c r="B27" s="13">
        <f>D20</f>
        <v>30851</v>
      </c>
      <c r="D27" s="2" t="s">
        <v>16</v>
      </c>
      <c r="E27" s="7">
        <v>30</v>
      </c>
    </row>
    <row r="28" spans="1:6" ht="13.5" thickBot="1" x14ac:dyDescent="0.25">
      <c r="B28" s="14">
        <f>SUM(B24:B27)</f>
        <v>2086015.2763544556</v>
      </c>
      <c r="C28" s="2" t="s">
        <v>37</v>
      </c>
      <c r="D28" s="2" t="s">
        <v>19</v>
      </c>
      <c r="E28" s="15">
        <f>20*(7/12)</f>
        <v>11.666666666666668</v>
      </c>
      <c r="F28" s="2" t="s">
        <v>38</v>
      </c>
    </row>
    <row r="29" spans="1:6" ht="13.5" thickBot="1" x14ac:dyDescent="0.25">
      <c r="E29" s="16">
        <f>SUM(E25:E28)</f>
        <v>101.66666666666667</v>
      </c>
    </row>
    <row r="30" spans="1:6" x14ac:dyDescent="0.2">
      <c r="E30" s="17">
        <f>E29*65%</f>
        <v>66.083333333333343</v>
      </c>
      <c r="F30" s="2" t="s">
        <v>39</v>
      </c>
    </row>
    <row r="31" spans="1:6" x14ac:dyDescent="0.2">
      <c r="A31" s="18" t="s">
        <v>40</v>
      </c>
      <c r="B31" s="7" t="s">
        <v>41</v>
      </c>
      <c r="C31" s="7" t="s">
        <v>42</v>
      </c>
      <c r="E31" s="17"/>
    </row>
    <row r="32" spans="1:6" x14ac:dyDescent="0.2">
      <c r="A32" t="s">
        <v>43</v>
      </c>
      <c r="B32" s="13">
        <v>8000</v>
      </c>
      <c r="C32" s="13">
        <f>B32*E29</f>
        <v>813333.33333333337</v>
      </c>
      <c r="E32" s="17"/>
    </row>
    <row r="33" spans="1:8" x14ac:dyDescent="0.2">
      <c r="A33" t="s">
        <v>44</v>
      </c>
      <c r="B33" s="13">
        <f>(B28-C32)/(65%*E29)</f>
        <v>19258.743147860612</v>
      </c>
      <c r="C33" s="13">
        <f>B33*E30</f>
        <v>1272681.9430211224</v>
      </c>
      <c r="D33" t="s">
        <v>45</v>
      </c>
    </row>
    <row r="34" spans="1:8" x14ac:dyDescent="0.2">
      <c r="A34" t="s">
        <v>46</v>
      </c>
      <c r="B34" s="13">
        <v>0</v>
      </c>
      <c r="C34" s="13">
        <v>0</v>
      </c>
      <c r="D34" t="s">
        <v>47</v>
      </c>
      <c r="E34" s="17"/>
    </row>
    <row r="35" spans="1:8" ht="13.5" thickBot="1" x14ac:dyDescent="0.25">
      <c r="B35" s="13"/>
      <c r="C35" s="14">
        <f>SUM(C32:C34)</f>
        <v>2086015.2763544559</v>
      </c>
      <c r="E35" s="17"/>
    </row>
    <row r="36" spans="1:8" ht="13.5" thickBot="1" x14ac:dyDescent="0.25">
      <c r="A36" s="19"/>
      <c r="B36" s="19"/>
      <c r="C36" s="19"/>
      <c r="D36" s="19"/>
      <c r="E36" s="19"/>
      <c r="F36" s="19"/>
      <c r="G36" s="19"/>
      <c r="H36" s="19"/>
    </row>
    <row r="37" spans="1:8" x14ac:dyDescent="0.2">
      <c r="A37" s="20"/>
      <c r="B37" s="21"/>
      <c r="C37" s="20"/>
    </row>
    <row r="38" spans="1:8" x14ac:dyDescent="0.2">
      <c r="A38" s="22" t="s">
        <v>48</v>
      </c>
      <c r="B38" s="18" t="s">
        <v>49</v>
      </c>
    </row>
    <row r="39" spans="1:8" x14ac:dyDescent="0.2">
      <c r="A39" s="22"/>
      <c r="B39" s="18"/>
      <c r="D39" s="23" t="s">
        <v>50</v>
      </c>
    </row>
    <row r="40" spans="1:8" x14ac:dyDescent="0.2">
      <c r="B40" s="65"/>
      <c r="C40" s="5" t="s">
        <v>101</v>
      </c>
      <c r="D40" s="6">
        <v>321350</v>
      </c>
      <c r="E40" s="2" t="s">
        <v>51</v>
      </c>
    </row>
    <row r="41" spans="1:8" x14ac:dyDescent="0.2">
      <c r="B41" s="66"/>
      <c r="C41" s="67" t="s">
        <v>102</v>
      </c>
      <c r="D41" s="6">
        <v>270886</v>
      </c>
      <c r="E41" s="2" t="s">
        <v>52</v>
      </c>
    </row>
    <row r="42" spans="1:8" x14ac:dyDescent="0.2">
      <c r="D42" s="13"/>
    </row>
    <row r="43" spans="1:8" x14ac:dyDescent="0.2">
      <c r="B43" s="2" t="s">
        <v>53</v>
      </c>
    </row>
    <row r="45" spans="1:8" x14ac:dyDescent="0.2">
      <c r="C45" s="5" t="s">
        <v>54</v>
      </c>
      <c r="D45" s="6">
        <f>B28</f>
        <v>2086015.2763544556</v>
      </c>
    </row>
    <row r="46" spans="1:8" x14ac:dyDescent="0.2">
      <c r="C46" s="5" t="s">
        <v>55</v>
      </c>
      <c r="D46" s="6">
        <f>'Solutions 4'!H91</f>
        <v>2196958.9473684211</v>
      </c>
    </row>
    <row r="49" spans="2:5" x14ac:dyDescent="0.2">
      <c r="B49" t="s">
        <v>151</v>
      </c>
    </row>
    <row r="50" spans="2:5" x14ac:dyDescent="0.2">
      <c r="B50" t="s">
        <v>139</v>
      </c>
    </row>
    <row r="52" spans="2:5" x14ac:dyDescent="0.2">
      <c r="C52" t="s">
        <v>140</v>
      </c>
      <c r="D52" s="13">
        <f>D40+D41+D45+D46</f>
        <v>4875210.223722877</v>
      </c>
      <c r="E52" t="s">
        <v>153</v>
      </c>
    </row>
    <row r="53" spans="2:5" x14ac:dyDescent="0.2">
      <c r="D53" s="113">
        <f>SUM(D52:D52)</f>
        <v>4875210.223722877</v>
      </c>
    </row>
    <row r="54" spans="2:5" x14ac:dyDescent="0.2">
      <c r="D54" s="13"/>
    </row>
    <row r="55" spans="2:5" x14ac:dyDescent="0.2">
      <c r="C55" t="s">
        <v>141</v>
      </c>
      <c r="D55" s="13">
        <f>3807900+2151790-1100000</f>
        <v>4859690</v>
      </c>
      <c r="E55" t="s">
        <v>152</v>
      </c>
    </row>
    <row r="56" spans="2:5" x14ac:dyDescent="0.2">
      <c r="D56" s="13"/>
    </row>
    <row r="57" spans="2:5" x14ac:dyDescent="0.2">
      <c r="C57" s="115" t="s">
        <v>142</v>
      </c>
      <c r="D57" s="116">
        <f>D55-D53</f>
        <v>-15520.223722876981</v>
      </c>
    </row>
    <row r="58" spans="2:5" x14ac:dyDescent="0.2">
      <c r="D58" s="1"/>
    </row>
    <row r="59" spans="2:5" x14ac:dyDescent="0.2">
      <c r="B59" t="s">
        <v>143</v>
      </c>
      <c r="C59" t="s">
        <v>144</v>
      </c>
      <c r="D59" s="13">
        <v>220000</v>
      </c>
      <c r="E59" t="s">
        <v>145</v>
      </c>
    </row>
    <row r="60" spans="2:5" x14ac:dyDescent="0.2">
      <c r="D60" s="1"/>
    </row>
    <row r="61" spans="2:5" x14ac:dyDescent="0.2">
      <c r="D61" s="1"/>
    </row>
    <row r="62" spans="2:5" x14ac:dyDescent="0.2">
      <c r="B62" t="s">
        <v>146</v>
      </c>
      <c r="C62" t="s">
        <v>147</v>
      </c>
      <c r="D62" s="13">
        <v>70000</v>
      </c>
      <c r="E62" t="s">
        <v>148</v>
      </c>
    </row>
    <row r="63" spans="2:5" x14ac:dyDescent="0.2">
      <c r="D63" s="1"/>
    </row>
    <row r="64" spans="2:5" x14ac:dyDescent="0.2">
      <c r="C64" s="115" t="s">
        <v>149</v>
      </c>
      <c r="D64" s="116">
        <f>SUM(D59:D62)</f>
        <v>290000</v>
      </c>
    </row>
    <row r="65" spans="4:4" x14ac:dyDescent="0.2">
      <c r="D65" s="1"/>
    </row>
    <row r="66" spans="4:4" x14ac:dyDescent="0.2">
      <c r="D66" s="1"/>
    </row>
    <row r="67" spans="4:4" x14ac:dyDescent="0.2">
      <c r="D67" s="1"/>
    </row>
    <row r="68" spans="4:4" x14ac:dyDescent="0.2">
      <c r="D68" s="1"/>
    </row>
    <row r="69" spans="4:4" x14ac:dyDescent="0.2">
      <c r="D69" s="1"/>
    </row>
  </sheetData>
  <sheetProtection password="C462" sheet="1" objects="1" scenarios="1"/>
  <pageMargins left="0.70866141732283472" right="0.70866141732283472" top="0.74803149606299213" bottom="0.74803149606299213" header="0.31496062992125984" footer="0.31496062992125984"/>
  <pageSetup paperSize="9"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63"/>
  <sheetViews>
    <sheetView zoomScale="85" zoomScaleNormal="85" workbookViewId="0">
      <selection activeCell="F62" sqref="F62"/>
    </sheetView>
  </sheetViews>
  <sheetFormatPr defaultRowHeight="12.75" x14ac:dyDescent="0.2"/>
  <cols>
    <col min="1" max="1" width="42.42578125" customWidth="1"/>
    <col min="2" max="2" width="17.85546875" customWidth="1"/>
    <col min="3" max="3" width="40.7109375" customWidth="1"/>
    <col min="4" max="5" width="17.85546875" customWidth="1"/>
    <col min="6" max="6" width="22.140625" customWidth="1"/>
    <col min="7" max="7" width="14" customWidth="1"/>
    <col min="8" max="8" width="13.85546875" bestFit="1" customWidth="1"/>
    <col min="9" max="9" width="14.28515625" customWidth="1"/>
    <col min="11" max="11" width="10.140625" customWidth="1"/>
  </cols>
  <sheetData>
    <row r="2" spans="1:8" x14ac:dyDescent="0.2">
      <c r="A2" s="45" t="s">
        <v>90</v>
      </c>
      <c r="B2" s="2"/>
    </row>
    <row r="3" spans="1:8" x14ac:dyDescent="0.2">
      <c r="A3" s="2"/>
      <c r="B3" s="2"/>
    </row>
    <row r="4" spans="1:8" x14ac:dyDescent="0.2">
      <c r="A4" s="2" t="s">
        <v>56</v>
      </c>
      <c r="B4" s="2"/>
    </row>
    <row r="6" spans="1:8" ht="25.5" x14ac:dyDescent="0.2">
      <c r="A6" s="3" t="s">
        <v>1</v>
      </c>
      <c r="B6" s="3"/>
      <c r="C6" s="4" t="s">
        <v>2</v>
      </c>
      <c r="D6" s="5"/>
    </row>
    <row r="7" spans="1:8" x14ac:dyDescent="0.2">
      <c r="A7" s="68" t="s">
        <v>3</v>
      </c>
      <c r="B7" s="69">
        <v>365289</v>
      </c>
      <c r="C7" s="70" t="s">
        <v>4</v>
      </c>
      <c r="D7" s="71">
        <v>21472</v>
      </c>
    </row>
    <row r="8" spans="1:8" x14ac:dyDescent="0.2">
      <c r="A8" s="68" t="s">
        <v>5</v>
      </c>
      <c r="B8" s="69">
        <v>25496</v>
      </c>
      <c r="C8" s="72" t="s">
        <v>6</v>
      </c>
      <c r="D8" s="71">
        <v>62440</v>
      </c>
      <c r="F8" s="2" t="s">
        <v>7</v>
      </c>
    </row>
    <row r="9" spans="1:8" x14ac:dyDescent="0.2">
      <c r="A9" s="68" t="s">
        <v>8</v>
      </c>
      <c r="B9" s="69">
        <v>34683</v>
      </c>
      <c r="C9" s="72" t="s">
        <v>9</v>
      </c>
      <c r="D9" s="71">
        <v>35212.360655737706</v>
      </c>
      <c r="F9" s="2" t="s">
        <v>10</v>
      </c>
      <c r="G9" s="7">
        <v>30</v>
      </c>
    </row>
    <row r="10" spans="1:8" x14ac:dyDescent="0.2">
      <c r="A10" s="68" t="s">
        <v>11</v>
      </c>
      <c r="B10" s="69">
        <v>50828</v>
      </c>
      <c r="C10" s="72" t="s">
        <v>12</v>
      </c>
      <c r="D10" s="71">
        <v>4000</v>
      </c>
      <c r="F10" s="2" t="s">
        <v>13</v>
      </c>
      <c r="G10" s="7">
        <v>30</v>
      </c>
    </row>
    <row r="11" spans="1:8" x14ac:dyDescent="0.2">
      <c r="A11" s="68" t="s">
        <v>14</v>
      </c>
      <c r="B11" s="69">
        <v>38676</v>
      </c>
      <c r="C11" s="72" t="s">
        <v>15</v>
      </c>
      <c r="D11" s="71">
        <v>4000</v>
      </c>
      <c r="F11" s="2" t="s">
        <v>16</v>
      </c>
      <c r="G11" s="7">
        <v>30</v>
      </c>
    </row>
    <row r="12" spans="1:8" x14ac:dyDescent="0.2">
      <c r="A12" s="68" t="s">
        <v>17</v>
      </c>
      <c r="B12" s="69">
        <v>1271</v>
      </c>
      <c r="C12" s="72" t="s">
        <v>18</v>
      </c>
      <c r="D12" s="71">
        <v>15456</v>
      </c>
      <c r="F12" s="2" t="s">
        <v>19</v>
      </c>
      <c r="G12" s="7">
        <v>20</v>
      </c>
    </row>
    <row r="13" spans="1:8" ht="13.5" thickBot="1" x14ac:dyDescent="0.25">
      <c r="A13" s="68" t="s">
        <v>20</v>
      </c>
      <c r="B13" s="69">
        <v>61872</v>
      </c>
      <c r="C13" s="72" t="s">
        <v>21</v>
      </c>
      <c r="D13" s="71">
        <v>13000</v>
      </c>
      <c r="G13" s="8">
        <f>SUM(G9:G12)</f>
        <v>110</v>
      </c>
    </row>
    <row r="14" spans="1:8" x14ac:dyDescent="0.2">
      <c r="A14" s="68" t="s">
        <v>22</v>
      </c>
      <c r="B14" s="69">
        <v>17462</v>
      </c>
      <c r="C14" s="72" t="s">
        <v>23</v>
      </c>
      <c r="D14" s="71">
        <v>10000</v>
      </c>
    </row>
    <row r="15" spans="1:8" x14ac:dyDescent="0.2">
      <c r="A15" s="68" t="s">
        <v>24</v>
      </c>
      <c r="B15" s="69">
        <v>16371</v>
      </c>
      <c r="C15" s="72" t="s">
        <v>25</v>
      </c>
      <c r="D15" s="71">
        <v>1000</v>
      </c>
      <c r="F15" s="10" t="s">
        <v>26</v>
      </c>
      <c r="G15" s="11">
        <v>12431.498557692306</v>
      </c>
      <c r="H15" s="12" t="s">
        <v>27</v>
      </c>
    </row>
    <row r="16" spans="1:8" x14ac:dyDescent="0.2">
      <c r="A16" s="73"/>
      <c r="B16" s="73"/>
      <c r="C16" s="72" t="s">
        <v>28</v>
      </c>
      <c r="D16" s="71">
        <v>20000</v>
      </c>
      <c r="F16" s="12" t="s">
        <v>29</v>
      </c>
      <c r="G16" s="10"/>
      <c r="H16" s="10"/>
    </row>
    <row r="17" spans="1:6" x14ac:dyDescent="0.2">
      <c r="A17" s="73"/>
      <c r="B17" s="73"/>
      <c r="C17" s="72" t="s">
        <v>30</v>
      </c>
      <c r="D17" s="71">
        <v>12000</v>
      </c>
    </row>
    <row r="18" spans="1:6" x14ac:dyDescent="0.2">
      <c r="A18" s="73"/>
      <c r="B18" s="73"/>
      <c r="C18" s="70" t="s">
        <v>31</v>
      </c>
      <c r="D18" s="71">
        <v>3320</v>
      </c>
    </row>
    <row r="19" spans="1:6" x14ac:dyDescent="0.2">
      <c r="A19" s="73"/>
      <c r="B19" s="73"/>
      <c r="C19" s="74" t="s">
        <v>32</v>
      </c>
      <c r="D19" s="71">
        <v>35000</v>
      </c>
    </row>
    <row r="20" spans="1:6" x14ac:dyDescent="0.2">
      <c r="A20" s="73"/>
      <c r="B20" s="73"/>
      <c r="C20" s="74" t="s">
        <v>33</v>
      </c>
      <c r="D20" s="75">
        <v>25500</v>
      </c>
    </row>
    <row r="23" spans="1:6" x14ac:dyDescent="0.2">
      <c r="A23" s="18" t="s">
        <v>57</v>
      </c>
      <c r="D23" s="2" t="s">
        <v>7</v>
      </c>
    </row>
    <row r="24" spans="1:6" x14ac:dyDescent="0.2">
      <c r="A24" s="18"/>
      <c r="D24" s="2" t="s">
        <v>10</v>
      </c>
      <c r="E24" s="7">
        <v>30</v>
      </c>
    </row>
    <row r="25" spans="1:6" x14ac:dyDescent="0.2">
      <c r="A25" s="2" t="s">
        <v>34</v>
      </c>
      <c r="B25" s="13">
        <f>SUM(B7:B15)</f>
        <v>611948</v>
      </c>
      <c r="D25" s="2" t="s">
        <v>13</v>
      </c>
      <c r="E25" s="7">
        <v>30</v>
      </c>
    </row>
    <row r="26" spans="1:6" x14ac:dyDescent="0.2">
      <c r="A26" s="2" t="s">
        <v>35</v>
      </c>
      <c r="B26" s="13">
        <f>SUM(D7:D19)</f>
        <v>236900.36065573769</v>
      </c>
      <c r="D26" s="2" t="s">
        <v>16</v>
      </c>
      <c r="E26" s="7">
        <v>30</v>
      </c>
    </row>
    <row r="27" spans="1:6" x14ac:dyDescent="0.2">
      <c r="A27" s="2" t="s">
        <v>36</v>
      </c>
      <c r="B27" s="13">
        <f>G13*G15</f>
        <v>1367464.8413461538</v>
      </c>
      <c r="D27" s="2" t="s">
        <v>19</v>
      </c>
      <c r="E27" s="15">
        <v>20</v>
      </c>
      <c r="F27" s="2" t="s">
        <v>38</v>
      </c>
    </row>
    <row r="28" spans="1:6" ht="13.5" thickBot="1" x14ac:dyDescent="0.25">
      <c r="A28" s="2" t="s">
        <v>33</v>
      </c>
      <c r="B28" s="13">
        <f>D20</f>
        <v>25500</v>
      </c>
      <c r="E28" s="16">
        <f>SUM(E24:E27)</f>
        <v>110</v>
      </c>
    </row>
    <row r="29" spans="1:6" ht="13.5" thickBot="1" x14ac:dyDescent="0.25">
      <c r="B29" s="14">
        <f>SUM(B25:B28)</f>
        <v>2241813.2020018916</v>
      </c>
      <c r="C29" s="2" t="s">
        <v>58</v>
      </c>
      <c r="E29" s="17">
        <f>E28*65%</f>
        <v>71.5</v>
      </c>
      <c r="F29" s="2" t="s">
        <v>39</v>
      </c>
    </row>
    <row r="30" spans="1:6" x14ac:dyDescent="0.2">
      <c r="B30" s="24"/>
      <c r="C30" s="2"/>
      <c r="E30" s="17"/>
      <c r="F30" s="2"/>
    </row>
    <row r="31" spans="1:6" x14ac:dyDescent="0.2">
      <c r="A31" t="s">
        <v>156</v>
      </c>
      <c r="B31" s="24">
        <v>8000</v>
      </c>
      <c r="C31" s="125">
        <f>(B31*E28)*5/12</f>
        <v>366666.66666666669</v>
      </c>
      <c r="E31" s="17"/>
      <c r="F31" s="2"/>
    </row>
    <row r="32" spans="1:6" x14ac:dyDescent="0.2">
      <c r="A32" t="s">
        <v>157</v>
      </c>
      <c r="B32" s="24">
        <v>10000</v>
      </c>
      <c r="C32" s="125">
        <f>(B32*E28)*7/12</f>
        <v>641666.66666666663</v>
      </c>
      <c r="E32" s="17"/>
      <c r="F32" s="2"/>
    </row>
    <row r="33" spans="1:11" x14ac:dyDescent="0.2">
      <c r="A33" t="s">
        <v>158</v>
      </c>
      <c r="B33" s="24"/>
      <c r="C33" s="126">
        <f>SUM(C31:C32)</f>
        <v>1008333.3333333333</v>
      </c>
      <c r="E33" s="24"/>
      <c r="F33" s="45"/>
    </row>
    <row r="34" spans="1:11" x14ac:dyDescent="0.2">
      <c r="B34" s="24"/>
      <c r="C34" s="133"/>
      <c r="D34" s="380" t="s">
        <v>202</v>
      </c>
      <c r="E34" s="380"/>
      <c r="F34" s="381" t="s">
        <v>203</v>
      </c>
      <c r="G34" s="382"/>
    </row>
    <row r="35" spans="1:11" x14ac:dyDescent="0.2">
      <c r="B35" s="24"/>
      <c r="C35" s="133"/>
      <c r="D35" s="378" t="s">
        <v>200</v>
      </c>
      <c r="E35" s="379" t="s">
        <v>211</v>
      </c>
      <c r="F35" s="383" t="s">
        <v>200</v>
      </c>
      <c r="G35" s="379" t="s">
        <v>201</v>
      </c>
    </row>
    <row r="36" spans="1:11" x14ac:dyDescent="0.2">
      <c r="B36" s="24" t="s">
        <v>167</v>
      </c>
      <c r="C36" s="7" t="s">
        <v>168</v>
      </c>
      <c r="D36" s="378"/>
      <c r="E36" s="379"/>
      <c r="F36" s="383"/>
      <c r="G36" s="379"/>
    </row>
    <row r="37" spans="1:11" x14ac:dyDescent="0.2">
      <c r="A37" t="s">
        <v>162</v>
      </c>
      <c r="B37" s="24">
        <f>B29*(5/12)</f>
        <v>934088.83416745486</v>
      </c>
      <c r="C37" s="13">
        <f>B37-C31</f>
        <v>567422.16750078811</v>
      </c>
      <c r="D37" s="125">
        <f>C37/E29</f>
        <v>7935.9743706403933</v>
      </c>
      <c r="E37" s="13">
        <f>D37/5*12</f>
        <v>19046.338489536945</v>
      </c>
      <c r="F37" s="186">
        <f>C37/110</f>
        <v>5158.3833409162553</v>
      </c>
      <c r="G37" s="13">
        <f>F37/5*12</f>
        <v>12380.120018199012</v>
      </c>
      <c r="H37" s="13"/>
    </row>
    <row r="38" spans="1:11" x14ac:dyDescent="0.2">
      <c r="A38" t="s">
        <v>163</v>
      </c>
      <c r="B38" s="24">
        <f>B29*(7/12)</f>
        <v>1307724.3678344369</v>
      </c>
      <c r="C38" s="13">
        <f>B38-C32</f>
        <v>666057.70116777031</v>
      </c>
      <c r="D38" s="125">
        <f>C38/E29</f>
        <v>9315.492324024759</v>
      </c>
      <c r="E38" s="13">
        <f>D38/7*12</f>
        <v>15969.415412613875</v>
      </c>
      <c r="F38" s="186">
        <f>C38/110</f>
        <v>6055.0700106160939</v>
      </c>
      <c r="G38" s="13">
        <f>F38/7*12</f>
        <v>10380.120018199017</v>
      </c>
      <c r="H38" s="13">
        <f>G37-G38</f>
        <v>1999.9999999999945</v>
      </c>
      <c r="I38" s="378" t="s">
        <v>204</v>
      </c>
      <c r="J38" s="378"/>
      <c r="K38" s="378"/>
    </row>
    <row r="39" spans="1:11" ht="13.5" thickBot="1" x14ac:dyDescent="0.25">
      <c r="B39" s="14">
        <f>SUM(B37:B38)</f>
        <v>2241813.202001892</v>
      </c>
      <c r="C39" s="125"/>
      <c r="E39" s="17"/>
      <c r="F39" s="2"/>
      <c r="I39" s="378"/>
      <c r="J39" s="378"/>
      <c r="K39" s="378"/>
    </row>
    <row r="40" spans="1:11" x14ac:dyDescent="0.2">
      <c r="C40" s="7"/>
    </row>
    <row r="43" spans="1:11" x14ac:dyDescent="0.2">
      <c r="D43" s="134" t="s">
        <v>73</v>
      </c>
      <c r="E43" s="134" t="s">
        <v>161</v>
      </c>
      <c r="F43" s="135" t="s">
        <v>164</v>
      </c>
    </row>
    <row r="44" spans="1:11" x14ac:dyDescent="0.2">
      <c r="D44" s="136">
        <v>110</v>
      </c>
      <c r="E44" s="137">
        <f>B31*(5/12)</f>
        <v>3333.3333333333335</v>
      </c>
      <c r="F44" s="137">
        <f>D44*E44</f>
        <v>366666.66666666669</v>
      </c>
    </row>
    <row r="45" spans="1:11" x14ac:dyDescent="0.2">
      <c r="D45" s="136">
        <v>110</v>
      </c>
      <c r="E45" s="137">
        <f>B32*(7/12)</f>
        <v>5833.3333333333339</v>
      </c>
      <c r="F45" s="137">
        <f>D45*E45</f>
        <v>641666.66666666674</v>
      </c>
    </row>
    <row r="46" spans="1:11" x14ac:dyDescent="0.2">
      <c r="D46" s="136"/>
      <c r="E46" s="138">
        <f>SUM(E44:E45)</f>
        <v>9166.6666666666679</v>
      </c>
      <c r="F46" s="138">
        <f>SUM(F44:F45)</f>
        <v>1008333.3333333335</v>
      </c>
      <c r="G46" t="s">
        <v>155</v>
      </c>
    </row>
    <row r="47" spans="1:11" ht="13.5" thickBot="1" x14ac:dyDescent="0.25"/>
    <row r="48" spans="1:11" ht="13.5" thickBot="1" x14ac:dyDescent="0.25">
      <c r="A48" s="140" t="s">
        <v>165</v>
      </c>
      <c r="B48" s="139"/>
      <c r="C48" s="141">
        <f>E37</f>
        <v>19046.338489536945</v>
      </c>
    </row>
    <row r="49" spans="1:7" ht="13.5" thickBot="1" x14ac:dyDescent="0.25">
      <c r="A49" s="140" t="s">
        <v>166</v>
      </c>
      <c r="B49" s="139"/>
      <c r="C49" s="141">
        <f>E38</f>
        <v>15969.415412613875</v>
      </c>
    </row>
    <row r="51" spans="1:7" x14ac:dyDescent="0.2">
      <c r="C51" s="1"/>
      <c r="D51" s="127" t="s">
        <v>159</v>
      </c>
      <c r="E51" s="127" t="s">
        <v>64</v>
      </c>
      <c r="F51" s="128" t="s">
        <v>160</v>
      </c>
    </row>
    <row r="52" spans="1:7" x14ac:dyDescent="0.2">
      <c r="D52" s="129">
        <v>71.5</v>
      </c>
      <c r="E52" s="130">
        <f>D37</f>
        <v>7935.9743706403933</v>
      </c>
      <c r="F52" s="184">
        <f>D52*E52</f>
        <v>567422.16750078811</v>
      </c>
    </row>
    <row r="53" spans="1:7" x14ac:dyDescent="0.2">
      <c r="D53" s="129">
        <v>71.5</v>
      </c>
      <c r="E53" s="130">
        <f>D38</f>
        <v>9315.492324024759</v>
      </c>
      <c r="F53" s="131">
        <f>D53*E53</f>
        <v>666057.70116777031</v>
      </c>
    </row>
    <row r="54" spans="1:7" x14ac:dyDescent="0.2">
      <c r="D54" s="127"/>
      <c r="E54" s="132">
        <f>SUM(E52:E53)</f>
        <v>17251.466694665152</v>
      </c>
      <c r="F54" s="132">
        <f>SUM(F52:F53)</f>
        <v>1233479.8686685585</v>
      </c>
      <c r="G54" t="s">
        <v>155</v>
      </c>
    </row>
    <row r="55" spans="1:7" x14ac:dyDescent="0.2">
      <c r="D55" s="127"/>
      <c r="E55" s="131"/>
      <c r="F55" s="131"/>
    </row>
    <row r="56" spans="1:7" x14ac:dyDescent="0.2">
      <c r="D56" s="127" t="str">
        <f>D51</f>
        <v>Pupil-led</v>
      </c>
      <c r="E56" s="127" t="str">
        <f t="shared" ref="E56:F56" si="0">E51</f>
        <v>Top up Value</v>
      </c>
      <c r="F56" s="127" t="str">
        <f t="shared" si="0"/>
        <v>Top up Funding</v>
      </c>
    </row>
    <row r="57" spans="1:7" x14ac:dyDescent="0.2">
      <c r="D57" s="127">
        <f>110-D52</f>
        <v>38.5</v>
      </c>
      <c r="E57" s="131">
        <v>0</v>
      </c>
      <c r="F57" s="131">
        <f>D57*E57</f>
        <v>0</v>
      </c>
    </row>
    <row r="58" spans="1:7" x14ac:dyDescent="0.2">
      <c r="D58" s="127">
        <f>110-D53</f>
        <v>38.5</v>
      </c>
      <c r="E58" s="131">
        <v>0</v>
      </c>
      <c r="F58" s="131">
        <f>D58*E58</f>
        <v>0</v>
      </c>
    </row>
    <row r="59" spans="1:7" x14ac:dyDescent="0.2">
      <c r="D59" s="127"/>
      <c r="E59" s="132">
        <f>SUM(E57:E58)</f>
        <v>0</v>
      </c>
      <c r="F59" s="132">
        <f>SUM(F57:F58)</f>
        <v>0</v>
      </c>
      <c r="G59" t="s">
        <v>155</v>
      </c>
    </row>
    <row r="60" spans="1:7" x14ac:dyDescent="0.2">
      <c r="D60" s="127"/>
      <c r="E60" s="131"/>
      <c r="F60" s="131"/>
    </row>
    <row r="62" spans="1:7" ht="13.5" thickBot="1" x14ac:dyDescent="0.25">
      <c r="C62" s="143"/>
      <c r="D62" s="145" t="s">
        <v>232</v>
      </c>
      <c r="E62" s="144"/>
      <c r="F62" s="142">
        <f>F46+F54+F59</f>
        <v>2241813.202001892</v>
      </c>
      <c r="G62" t="s">
        <v>155</v>
      </c>
    </row>
    <row r="63" spans="1:7" ht="13.5" thickTop="1" x14ac:dyDescent="0.2"/>
  </sheetData>
  <sheetProtection password="C462" sheet="1" objects="1" scenarios="1"/>
  <mergeCells count="7">
    <mergeCell ref="I38:K39"/>
    <mergeCell ref="D35:D36"/>
    <mergeCell ref="E35:E36"/>
    <mergeCell ref="D34:E34"/>
    <mergeCell ref="F34:G34"/>
    <mergeCell ref="F35:F36"/>
    <mergeCell ref="G35:G36"/>
  </mergeCells>
  <pageMargins left="0.70866141732283472" right="0.70866141732283472" top="0.74803149606299213" bottom="0.74803149606299213" header="0.31496062992125984" footer="0.31496062992125984"/>
  <pageSetup paperSize="9" scale="6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131"/>
  <sheetViews>
    <sheetView topLeftCell="A58" zoomScale="85" zoomScaleNormal="85" workbookViewId="0">
      <selection activeCell="E71" sqref="E71"/>
    </sheetView>
  </sheetViews>
  <sheetFormatPr defaultRowHeight="12.75" x14ac:dyDescent="0.2"/>
  <cols>
    <col min="1" max="1" width="46.85546875" customWidth="1"/>
    <col min="2" max="2" width="25.7109375" customWidth="1"/>
    <col min="3" max="3" width="3" style="206" customWidth="1"/>
    <col min="4" max="5" width="25.7109375" customWidth="1"/>
    <col min="6" max="6" width="34.140625" customWidth="1"/>
    <col min="8" max="8" width="40.7109375" customWidth="1"/>
  </cols>
  <sheetData>
    <row r="1" spans="1:9" ht="18" x14ac:dyDescent="0.25">
      <c r="A1" s="165" t="s">
        <v>186</v>
      </c>
    </row>
    <row r="3" spans="1:9" ht="24.75" customHeight="1" x14ac:dyDescent="0.2">
      <c r="A3" s="157" t="s">
        <v>171</v>
      </c>
      <c r="B3" s="158" t="s">
        <v>170</v>
      </c>
      <c r="C3" s="207"/>
      <c r="E3">
        <v>5</v>
      </c>
      <c r="F3" s="153" t="s">
        <v>174</v>
      </c>
      <c r="G3" s="154">
        <f>SUM(G4:G12)</f>
        <v>611948</v>
      </c>
      <c r="H3" s="155" t="s">
        <v>175</v>
      </c>
      <c r="I3" s="156">
        <f>SUM(I4:I16)</f>
        <v>236900.36065573769</v>
      </c>
    </row>
    <row r="4" spans="1:9" x14ac:dyDescent="0.2">
      <c r="A4" s="146" t="s">
        <v>34</v>
      </c>
      <c r="B4" s="130">
        <f>'Summary 201516'!B25</f>
        <v>611948</v>
      </c>
      <c r="C4" s="202"/>
      <c r="F4" s="68" t="s">
        <v>3</v>
      </c>
      <c r="G4" s="69">
        <f>'Summary 201516'!B7</f>
        <v>365289</v>
      </c>
      <c r="H4" s="70" t="s">
        <v>4</v>
      </c>
      <c r="I4" s="71">
        <f>'Summary 201516'!D7</f>
        <v>21472</v>
      </c>
    </row>
    <row r="5" spans="1:9" x14ac:dyDescent="0.2">
      <c r="A5" s="146" t="s">
        <v>35</v>
      </c>
      <c r="B5" s="130">
        <f>'Summary 201516'!B26</f>
        <v>236900.36065573769</v>
      </c>
      <c r="C5" s="202">
        <v>1</v>
      </c>
      <c r="F5" s="68" t="s">
        <v>5</v>
      </c>
      <c r="G5" s="69">
        <f>'Summary 201516'!B8</f>
        <v>25496</v>
      </c>
      <c r="H5" s="72" t="s">
        <v>6</v>
      </c>
      <c r="I5" s="71">
        <f>'Summary 201516'!D8</f>
        <v>62440</v>
      </c>
    </row>
    <row r="6" spans="1:9" x14ac:dyDescent="0.2">
      <c r="A6" s="146" t="s">
        <v>169</v>
      </c>
      <c r="B6" s="130">
        <f>'Summary 201516'!B27</f>
        <v>1367464.8413461538</v>
      </c>
      <c r="C6" s="202"/>
      <c r="F6" s="68" t="s">
        <v>8</v>
      </c>
      <c r="G6" s="69">
        <f>'Summary 201516'!B9</f>
        <v>34683</v>
      </c>
      <c r="H6" s="72" t="s">
        <v>9</v>
      </c>
      <c r="I6" s="71">
        <f>'Summary 201516'!D9</f>
        <v>35212.360655737706</v>
      </c>
    </row>
    <row r="7" spans="1:9" x14ac:dyDescent="0.2">
      <c r="A7" s="147" t="s">
        <v>33</v>
      </c>
      <c r="B7" s="130">
        <f>'Summary 201516'!B28</f>
        <v>25500</v>
      </c>
      <c r="C7" s="202"/>
      <c r="F7" s="68" t="s">
        <v>11</v>
      </c>
      <c r="G7" s="69">
        <f>'Summary 201516'!B10</f>
        <v>50828</v>
      </c>
      <c r="H7" s="72" t="s">
        <v>12</v>
      </c>
      <c r="I7" s="71">
        <f>'Summary 201516'!D10</f>
        <v>4000</v>
      </c>
    </row>
    <row r="8" spans="1:9" x14ac:dyDescent="0.2">
      <c r="A8" s="146"/>
      <c r="B8" s="159">
        <f>SUM(B4:B7)</f>
        <v>2241813.2020018916</v>
      </c>
      <c r="C8" s="208">
        <v>2</v>
      </c>
      <c r="F8" s="68" t="s">
        <v>14</v>
      </c>
      <c r="G8" s="69">
        <f>'Summary 201516'!B11</f>
        <v>38676</v>
      </c>
      <c r="H8" s="72" t="s">
        <v>15</v>
      </c>
      <c r="I8" s="71">
        <f>'Summary 201516'!D11</f>
        <v>4000</v>
      </c>
    </row>
    <row r="9" spans="1:9" x14ac:dyDescent="0.2">
      <c r="F9" s="68" t="s">
        <v>17</v>
      </c>
      <c r="G9" s="69">
        <f>'Summary 201516'!B12</f>
        <v>1271</v>
      </c>
      <c r="H9" s="72" t="s">
        <v>18</v>
      </c>
      <c r="I9" s="71">
        <f>'Summary 201516'!D12</f>
        <v>15456</v>
      </c>
    </row>
    <row r="10" spans="1:9" ht="13.5" thickBot="1" x14ac:dyDescent="0.25">
      <c r="F10" s="68" t="s">
        <v>20</v>
      </c>
      <c r="G10" s="69">
        <f>'Summary 201516'!B13</f>
        <v>61872</v>
      </c>
      <c r="H10" s="72" t="s">
        <v>21</v>
      </c>
      <c r="I10" s="71">
        <f>'Summary 201516'!D13</f>
        <v>13000</v>
      </c>
    </row>
    <row r="11" spans="1:9" x14ac:dyDescent="0.2">
      <c r="A11" s="148" t="s">
        <v>172</v>
      </c>
      <c r="B11" s="149" t="s">
        <v>73</v>
      </c>
      <c r="C11" s="208">
        <v>3</v>
      </c>
      <c r="F11" s="68" t="s">
        <v>22</v>
      </c>
      <c r="G11" s="69">
        <f>'Summary 201516'!B14</f>
        <v>17462</v>
      </c>
      <c r="H11" s="72" t="s">
        <v>23</v>
      </c>
      <c r="I11" s="71">
        <f>'Summary 201516'!D14</f>
        <v>10000</v>
      </c>
    </row>
    <row r="12" spans="1:9" x14ac:dyDescent="0.2">
      <c r="A12" s="151" t="s">
        <v>154</v>
      </c>
      <c r="B12" s="150">
        <f>'Summary 201516'!E28</f>
        <v>110</v>
      </c>
      <c r="C12" s="203"/>
      <c r="F12" s="68" t="s">
        <v>24</v>
      </c>
      <c r="G12" s="69">
        <f>'Summary 201516'!B15</f>
        <v>16371</v>
      </c>
      <c r="H12" s="72" t="s">
        <v>25</v>
      </c>
      <c r="I12" s="71">
        <f>'Summary 201516'!D15</f>
        <v>1000</v>
      </c>
    </row>
    <row r="13" spans="1:9" ht="13.5" thickBot="1" x14ac:dyDescent="0.25">
      <c r="A13" s="168" t="s">
        <v>173</v>
      </c>
      <c r="B13" s="169">
        <f>'Summary 201516'!E28</f>
        <v>110</v>
      </c>
      <c r="C13" s="203"/>
      <c r="F13" s="73"/>
      <c r="G13" s="73"/>
      <c r="H13" s="72" t="s">
        <v>28</v>
      </c>
      <c r="I13" s="71">
        <f>'Summary 201516'!D16</f>
        <v>20000</v>
      </c>
    </row>
    <row r="14" spans="1:9" ht="13.5" thickBot="1" x14ac:dyDescent="0.25">
      <c r="F14" s="73"/>
      <c r="G14" s="73"/>
      <c r="H14" s="72" t="s">
        <v>30</v>
      </c>
      <c r="I14" s="71">
        <f>'Summary 201516'!D17</f>
        <v>12000</v>
      </c>
    </row>
    <row r="15" spans="1:9" x14ac:dyDescent="0.2">
      <c r="A15" s="170" t="s">
        <v>177</v>
      </c>
      <c r="B15" s="171" t="s">
        <v>178</v>
      </c>
      <c r="C15" s="209">
        <v>4</v>
      </c>
      <c r="F15" s="73"/>
      <c r="G15" s="73"/>
      <c r="H15" s="70" t="s">
        <v>31</v>
      </c>
      <c r="I15" s="71">
        <f>'Summary 201516'!D18</f>
        <v>3320</v>
      </c>
    </row>
    <row r="16" spans="1:9" x14ac:dyDescent="0.2">
      <c r="A16" s="172" t="s">
        <v>176</v>
      </c>
      <c r="B16" s="173">
        <f>'Summary 201516'!G15</f>
        <v>12431.498557692306</v>
      </c>
      <c r="C16" s="209"/>
      <c r="F16" s="73"/>
      <c r="G16" s="73"/>
      <c r="H16" s="74" t="s">
        <v>32</v>
      </c>
      <c r="I16" s="71">
        <f>'Summary 201516'!D19</f>
        <v>35000</v>
      </c>
    </row>
    <row r="17" spans="1:10" ht="13.5" thickBot="1" x14ac:dyDescent="0.25">
      <c r="A17" s="386" t="s">
        <v>179</v>
      </c>
      <c r="B17" s="387"/>
      <c r="C17" s="204"/>
    </row>
    <row r="19" spans="1:10" ht="13.5" thickBot="1" x14ac:dyDescent="0.25"/>
    <row r="20" spans="1:10" x14ac:dyDescent="0.2">
      <c r="A20" s="163" t="s">
        <v>49</v>
      </c>
      <c r="B20" s="164" t="s">
        <v>185</v>
      </c>
      <c r="C20" s="210"/>
      <c r="D20" s="182" t="s">
        <v>184</v>
      </c>
      <c r="E20" s="182"/>
      <c r="G20">
        <v>6</v>
      </c>
      <c r="H20" s="170" t="s">
        <v>190</v>
      </c>
      <c r="I20" s="171" t="s">
        <v>73</v>
      </c>
    </row>
    <row r="21" spans="1:10" x14ac:dyDescent="0.2">
      <c r="A21" s="161" t="s">
        <v>181</v>
      </c>
      <c r="B21" s="13">
        <f>270886*(9/12)</f>
        <v>203164.5</v>
      </c>
      <c r="C21" s="210">
        <v>7</v>
      </c>
      <c r="D21" s="183" t="s">
        <v>183</v>
      </c>
      <c r="E21" s="183"/>
      <c r="H21" s="175" t="s">
        <v>10</v>
      </c>
      <c r="I21" s="176">
        <v>30</v>
      </c>
    </row>
    <row r="22" spans="1:10" x14ac:dyDescent="0.2">
      <c r="A22" s="161" t="s">
        <v>182</v>
      </c>
      <c r="B22" s="13">
        <v>321350</v>
      </c>
      <c r="C22" s="210">
        <v>8</v>
      </c>
      <c r="D22" s="183" t="s">
        <v>245</v>
      </c>
      <c r="E22" s="183"/>
      <c r="H22" s="175" t="s">
        <v>13</v>
      </c>
      <c r="I22" s="176">
        <v>30</v>
      </c>
    </row>
    <row r="23" spans="1:10" x14ac:dyDescent="0.2">
      <c r="A23" s="161"/>
      <c r="B23" s="166">
        <f>SUM(B21:B22)</f>
        <v>524514.5</v>
      </c>
      <c r="C23" s="209"/>
      <c r="H23" s="175" t="s">
        <v>16</v>
      </c>
      <c r="I23" s="176">
        <v>30</v>
      </c>
    </row>
    <row r="24" spans="1:10" x14ac:dyDescent="0.2">
      <c r="A24" s="161"/>
      <c r="B24" s="167"/>
      <c r="C24" s="209"/>
      <c r="H24" s="175" t="s">
        <v>19</v>
      </c>
      <c r="I24" s="176">
        <v>20</v>
      </c>
    </row>
    <row r="25" spans="1:10" ht="13.5" thickBot="1" x14ac:dyDescent="0.25">
      <c r="A25" s="163" t="s">
        <v>187</v>
      </c>
      <c r="B25" s="13"/>
      <c r="C25" s="210"/>
      <c r="H25" s="179" t="s">
        <v>189</v>
      </c>
      <c r="I25" s="178">
        <f>SUM(I21:I24)</f>
        <v>110</v>
      </c>
    </row>
    <row r="26" spans="1:10" x14ac:dyDescent="0.2">
      <c r="A26" s="160" t="s">
        <v>180</v>
      </c>
      <c r="B26" s="13">
        <f>0.149739908757769*I3</f>
        <v>35473.438389272727</v>
      </c>
      <c r="C26" s="210">
        <v>9</v>
      </c>
    </row>
    <row r="27" spans="1:10" x14ac:dyDescent="0.2">
      <c r="B27" s="166">
        <f>SUM(B26)</f>
        <v>35473.438389272727</v>
      </c>
      <c r="C27" s="209"/>
    </row>
    <row r="28" spans="1:10" x14ac:dyDescent="0.2">
      <c r="B28" s="13"/>
      <c r="C28" s="210"/>
    </row>
    <row r="29" spans="1:10" x14ac:dyDescent="0.2">
      <c r="A29" s="152" t="s">
        <v>199</v>
      </c>
      <c r="B29" s="116">
        <f>B8+B23+B27</f>
        <v>2801801.1403911645</v>
      </c>
      <c r="C29" s="210">
        <v>10</v>
      </c>
      <c r="D29" s="183" t="s">
        <v>188</v>
      </c>
      <c r="E29" s="183"/>
    </row>
    <row r="30" spans="1:10" ht="13.5" thickBot="1" x14ac:dyDescent="0.25">
      <c r="A30" s="19"/>
      <c r="B30" s="19"/>
      <c r="C30" s="211"/>
      <c r="D30" s="19"/>
      <c r="E30" s="19"/>
      <c r="F30" s="19"/>
      <c r="G30" s="19"/>
      <c r="H30" s="19"/>
      <c r="I30" s="19"/>
      <c r="J30" s="65"/>
    </row>
    <row r="32" spans="1:10" ht="18" x14ac:dyDescent="0.25">
      <c r="A32" s="165" t="s">
        <v>191</v>
      </c>
    </row>
    <row r="34" spans="1:10" ht="12.75" customHeight="1" x14ac:dyDescent="0.2">
      <c r="A34" s="385" t="s">
        <v>192</v>
      </c>
      <c r="B34" s="385"/>
      <c r="C34" s="385"/>
      <c r="D34" s="385"/>
      <c r="E34" s="385"/>
      <c r="F34" s="385"/>
      <c r="G34" s="385"/>
      <c r="H34" s="385"/>
      <c r="I34" s="385"/>
      <c r="J34" s="195"/>
    </row>
    <row r="35" spans="1:10" x14ac:dyDescent="0.2">
      <c r="A35" s="385"/>
      <c r="B35" s="385"/>
      <c r="C35" s="385"/>
      <c r="D35" s="385"/>
      <c r="E35" s="385"/>
      <c r="F35" s="385"/>
      <c r="G35" s="385"/>
      <c r="H35" s="385"/>
      <c r="I35" s="385"/>
      <c r="J35" s="195"/>
    </row>
    <row r="37" spans="1:10" x14ac:dyDescent="0.2">
      <c r="B37" s="7" t="s">
        <v>161</v>
      </c>
      <c r="C37" s="210"/>
      <c r="E37" s="7"/>
    </row>
    <row r="38" spans="1:10" x14ac:dyDescent="0.2">
      <c r="A38" t="str">
        <f>'Summary 201516'!A31</f>
        <v>Place Funding: April 15 - August 15</v>
      </c>
      <c r="B38" s="13">
        <f>'Summary 201516'!B31</f>
        <v>8000</v>
      </c>
      <c r="C38" s="210">
        <v>11</v>
      </c>
      <c r="D38" s="13"/>
      <c r="E38" s="13"/>
    </row>
    <row r="39" spans="1:10" x14ac:dyDescent="0.2">
      <c r="A39" t="str">
        <f>'Summary 201516'!A32</f>
        <v>Place Funding: September 15 - March 16</v>
      </c>
      <c r="B39" s="13">
        <f>'Summary 201516'!B32</f>
        <v>10000</v>
      </c>
      <c r="C39" s="210"/>
      <c r="D39" s="13"/>
      <c r="E39" s="13"/>
    </row>
    <row r="40" spans="1:10" x14ac:dyDescent="0.2">
      <c r="B40" s="13"/>
      <c r="C40" s="210"/>
      <c r="D40" s="13"/>
      <c r="E40" s="13"/>
    </row>
    <row r="41" spans="1:10" x14ac:dyDescent="0.2">
      <c r="B41" s="7" t="s">
        <v>73</v>
      </c>
      <c r="C41" s="210"/>
      <c r="D41" s="7" t="s">
        <v>193</v>
      </c>
      <c r="E41" s="7" t="s">
        <v>164</v>
      </c>
    </row>
    <row r="42" spans="1:10" x14ac:dyDescent="0.2">
      <c r="A42" t="str">
        <f>A38</f>
        <v>Place Funding: April 15 - August 15</v>
      </c>
      <c r="B42" s="7">
        <f>'Summary 201516'!D44</f>
        <v>110</v>
      </c>
      <c r="C42" s="210">
        <v>12</v>
      </c>
      <c r="D42" s="13">
        <f>'Summary 201516'!E44</f>
        <v>3333.3333333333335</v>
      </c>
      <c r="E42" s="13">
        <f>'Summary 201516'!F44</f>
        <v>366666.66666666669</v>
      </c>
    </row>
    <row r="43" spans="1:10" x14ac:dyDescent="0.2">
      <c r="A43" t="str">
        <f>A39</f>
        <v>Place Funding: September 15 - March 16</v>
      </c>
      <c r="B43" s="7">
        <f>'Summary 201516'!D45</f>
        <v>110</v>
      </c>
      <c r="C43" s="210"/>
      <c r="D43" s="13">
        <f>'Summary 201516'!E45</f>
        <v>5833.3333333333339</v>
      </c>
      <c r="E43" s="13">
        <f>'Summary 201516'!F45</f>
        <v>641666.66666666674</v>
      </c>
    </row>
    <row r="44" spans="1:10" x14ac:dyDescent="0.2">
      <c r="D44" s="113">
        <f>'Summary 201516'!E46</f>
        <v>9166.6666666666679</v>
      </c>
      <c r="E44" s="113">
        <f>'Summary 201516'!F46</f>
        <v>1008333.3333333335</v>
      </c>
      <c r="F44" s="183">
        <v>13</v>
      </c>
    </row>
    <row r="45" spans="1:10" x14ac:dyDescent="0.2">
      <c r="D45" s="24"/>
      <c r="E45" s="24"/>
    </row>
    <row r="46" spans="1:10" x14ac:dyDescent="0.2">
      <c r="A46" s="180"/>
      <c r="B46" s="7" t="s">
        <v>196</v>
      </c>
      <c r="C46" s="210"/>
    </row>
    <row r="47" spans="1:10" x14ac:dyDescent="0.2">
      <c r="A47" s="140" t="s">
        <v>194</v>
      </c>
      <c r="B47" s="13">
        <f>'Summary 201516'!E37</f>
        <v>19046.338489536945</v>
      </c>
      <c r="C47" s="210">
        <v>14</v>
      </c>
    </row>
    <row r="48" spans="1:10" x14ac:dyDescent="0.2">
      <c r="A48" s="140" t="s">
        <v>195</v>
      </c>
      <c r="B48" s="13">
        <f>'Summary 201516'!E38</f>
        <v>15969.415412613875</v>
      </c>
      <c r="C48" s="210"/>
      <c r="D48" s="1"/>
    </row>
    <row r="50" spans="1:6" x14ac:dyDescent="0.2">
      <c r="B50" s="7" t="str">
        <f>'Summary 201516'!D51</f>
        <v>Pupil-led</v>
      </c>
      <c r="C50" s="210"/>
      <c r="D50" s="7" t="str">
        <f>'Summary 201516'!E51</f>
        <v>Top up Value</v>
      </c>
      <c r="E50" s="7" t="str">
        <f>'Summary 201516'!F51</f>
        <v>Top up Funding</v>
      </c>
    </row>
    <row r="51" spans="1:6" x14ac:dyDescent="0.2">
      <c r="A51" s="181" t="s">
        <v>197</v>
      </c>
      <c r="B51" s="7">
        <f>'Summary 201516'!D52</f>
        <v>71.5</v>
      </c>
      <c r="C51" s="210"/>
      <c r="D51" s="13">
        <f>'Summary 201516'!E52</f>
        <v>7935.9743706403933</v>
      </c>
      <c r="E51" s="13">
        <f>'Summary 201516'!F52</f>
        <v>567422.16750078811</v>
      </c>
    </row>
    <row r="52" spans="1:6" x14ac:dyDescent="0.2">
      <c r="A52" s="181" t="s">
        <v>198</v>
      </c>
      <c r="B52" s="7">
        <f>'Summary 201516'!D53</f>
        <v>71.5</v>
      </c>
      <c r="C52" s="210"/>
      <c r="D52" s="13">
        <f>'Summary 201516'!E53</f>
        <v>9315.492324024759</v>
      </c>
      <c r="E52" s="13">
        <f>'Summary 201516'!F53</f>
        <v>666057.70116777031</v>
      </c>
    </row>
    <row r="53" spans="1:6" x14ac:dyDescent="0.2">
      <c r="D53" s="113">
        <f>'Summary 201516'!E54</f>
        <v>17251.466694665152</v>
      </c>
      <c r="E53" s="113">
        <f>'Summary 201516'!F54</f>
        <v>1233479.8686685585</v>
      </c>
    </row>
    <row r="54" spans="1:6" x14ac:dyDescent="0.2">
      <c r="F54" s="183">
        <v>15</v>
      </c>
    </row>
    <row r="55" spans="1:6" x14ac:dyDescent="0.2">
      <c r="B55" s="162" t="str">
        <f>'Summary 201516'!D56</f>
        <v>Pupil-led</v>
      </c>
      <c r="C55" s="210"/>
      <c r="D55" s="162" t="str">
        <f>'Summary 201516'!E56</f>
        <v>Top up Value</v>
      </c>
      <c r="E55" s="162" t="str">
        <f>'Summary 201516'!F56</f>
        <v>Top up Funding</v>
      </c>
    </row>
    <row r="56" spans="1:6" x14ac:dyDescent="0.2">
      <c r="A56" s="181" t="s">
        <v>197</v>
      </c>
      <c r="B56" s="162">
        <f>'Summary 201516'!D57</f>
        <v>38.5</v>
      </c>
      <c r="C56" s="210"/>
      <c r="D56" s="13">
        <f>'Summary 201516'!E57</f>
        <v>0</v>
      </c>
      <c r="E56" s="13">
        <f>'Summary 201516'!F57</f>
        <v>0</v>
      </c>
    </row>
    <row r="57" spans="1:6" x14ac:dyDescent="0.2">
      <c r="A57" s="181" t="s">
        <v>198</v>
      </c>
      <c r="B57" s="162">
        <f>'Summary 201516'!D58</f>
        <v>38.5</v>
      </c>
      <c r="C57" s="210"/>
      <c r="D57" s="13">
        <f>'Summary 201516'!E58</f>
        <v>0</v>
      </c>
      <c r="E57" s="13">
        <f>'Summary 201516'!F58</f>
        <v>0</v>
      </c>
    </row>
    <row r="58" spans="1:6" x14ac:dyDescent="0.2">
      <c r="D58" s="113">
        <f>'Summary 201516'!E59</f>
        <v>0</v>
      </c>
      <c r="E58" s="113">
        <f>'Summary 201516'!F59</f>
        <v>0</v>
      </c>
    </row>
    <row r="59" spans="1:6" x14ac:dyDescent="0.2">
      <c r="D59" s="24"/>
      <c r="E59" s="24"/>
    </row>
    <row r="60" spans="1:6" x14ac:dyDescent="0.2">
      <c r="B60" s="182" t="str">
        <f>'Summary 201516'!D62</f>
        <v>2015/16 Indicative Place-led and Top up Funding</v>
      </c>
      <c r="C60" s="212"/>
      <c r="E60" s="116">
        <f>'Summary 201516'!F62</f>
        <v>2241813.202001892</v>
      </c>
      <c r="F60" s="183">
        <v>16</v>
      </c>
    </row>
    <row r="61" spans="1:6" x14ac:dyDescent="0.2">
      <c r="F61" s="183"/>
    </row>
    <row r="62" spans="1:6" x14ac:dyDescent="0.2">
      <c r="B62" s="163" t="s">
        <v>49</v>
      </c>
      <c r="C62" s="205"/>
      <c r="E62" s="164" t="s">
        <v>185</v>
      </c>
      <c r="F62" s="183"/>
    </row>
    <row r="63" spans="1:6" x14ac:dyDescent="0.2">
      <c r="B63" s="161" t="s">
        <v>181</v>
      </c>
      <c r="C63" s="205"/>
      <c r="E63" s="13">
        <f>270886*(9/12)</f>
        <v>203164.5</v>
      </c>
      <c r="F63" s="183"/>
    </row>
    <row r="64" spans="1:6" x14ac:dyDescent="0.2">
      <c r="B64" s="161" t="s">
        <v>182</v>
      </c>
      <c r="C64" s="205"/>
      <c r="E64" s="13">
        <v>321350</v>
      </c>
      <c r="F64" s="183"/>
    </row>
    <row r="65" spans="1:9" x14ac:dyDescent="0.2">
      <c r="B65" s="161"/>
      <c r="C65" s="205"/>
      <c r="E65" s="166">
        <f>SUM(E63:E64)</f>
        <v>524514.5</v>
      </c>
      <c r="F65" s="183"/>
    </row>
    <row r="66" spans="1:9" x14ac:dyDescent="0.2">
      <c r="B66" s="161"/>
      <c r="C66" s="205"/>
      <c r="E66" s="167"/>
      <c r="F66" s="183"/>
    </row>
    <row r="67" spans="1:9" x14ac:dyDescent="0.2">
      <c r="B67" s="163" t="s">
        <v>187</v>
      </c>
      <c r="C67" s="205"/>
      <c r="E67" s="13"/>
      <c r="F67" s="183"/>
    </row>
    <row r="68" spans="1:9" x14ac:dyDescent="0.2">
      <c r="B68" s="160" t="s">
        <v>180</v>
      </c>
      <c r="C68" s="213"/>
      <c r="E68" s="13">
        <f>0.149739908757769*I3</f>
        <v>35473.438389272727</v>
      </c>
      <c r="F68" s="183"/>
    </row>
    <row r="69" spans="1:9" x14ac:dyDescent="0.2">
      <c r="E69" s="166">
        <f>SUM(E68)</f>
        <v>35473.438389272727</v>
      </c>
      <c r="F69" s="183"/>
    </row>
    <row r="70" spans="1:9" x14ac:dyDescent="0.2">
      <c r="E70" s="13"/>
      <c r="F70" s="183"/>
    </row>
    <row r="71" spans="1:9" x14ac:dyDescent="0.2">
      <c r="B71" s="152" t="s">
        <v>199</v>
      </c>
      <c r="C71" s="214"/>
      <c r="E71" s="116">
        <f>E60+E65+E69</f>
        <v>2801801.1403911649</v>
      </c>
      <c r="F71" s="183">
        <v>17</v>
      </c>
    </row>
    <row r="74" spans="1:9" ht="12.75" customHeight="1" x14ac:dyDescent="0.2">
      <c r="A74" s="388" t="s">
        <v>216</v>
      </c>
      <c r="B74" s="388"/>
      <c r="C74" s="388"/>
      <c r="D74" s="388"/>
      <c r="F74" s="388" t="s">
        <v>224</v>
      </c>
      <c r="G74" s="389"/>
      <c r="H74" s="389"/>
      <c r="I74" s="389"/>
    </row>
    <row r="75" spans="1:9" x14ac:dyDescent="0.2">
      <c r="A75" s="388"/>
      <c r="B75" s="388"/>
      <c r="C75" s="388"/>
      <c r="D75" s="388"/>
      <c r="F75" s="389"/>
      <c r="G75" s="389"/>
      <c r="H75" s="389"/>
      <c r="I75" s="389"/>
    </row>
    <row r="76" spans="1:9" x14ac:dyDescent="0.2">
      <c r="A76" s="388"/>
      <c r="B76" s="388"/>
      <c r="C76" s="388"/>
      <c r="D76" s="388"/>
      <c r="F76" s="389"/>
      <c r="G76" s="389"/>
      <c r="H76" s="389"/>
      <c r="I76" s="389"/>
    </row>
    <row r="77" spans="1:9" x14ac:dyDescent="0.2">
      <c r="A77" s="388"/>
      <c r="B77" s="388"/>
      <c r="C77" s="388"/>
      <c r="D77" s="388"/>
      <c r="F77" s="389"/>
      <c r="G77" s="389"/>
      <c r="H77" s="389"/>
      <c r="I77" s="389"/>
    </row>
    <row r="78" spans="1:9" x14ac:dyDescent="0.2">
      <c r="A78" s="388"/>
      <c r="B78" s="388"/>
      <c r="C78" s="388"/>
      <c r="D78" s="388"/>
      <c r="F78" s="389"/>
      <c r="G78" s="389"/>
      <c r="H78" s="389"/>
      <c r="I78" s="389"/>
    </row>
    <row r="79" spans="1:9" x14ac:dyDescent="0.2">
      <c r="A79" s="388"/>
      <c r="B79" s="388"/>
      <c r="C79" s="388"/>
      <c r="D79" s="388"/>
      <c r="F79" s="389"/>
      <c r="G79" s="389"/>
      <c r="H79" s="389"/>
      <c r="I79" s="389"/>
    </row>
    <row r="80" spans="1:9" x14ac:dyDescent="0.2">
      <c r="A80" s="388"/>
      <c r="B80" s="388"/>
      <c r="C80" s="388"/>
      <c r="D80" s="388"/>
      <c r="F80" s="389"/>
      <c r="G80" s="389"/>
      <c r="H80" s="389"/>
      <c r="I80" s="389"/>
    </row>
    <row r="81" spans="1:9" x14ac:dyDescent="0.2">
      <c r="A81" s="388"/>
      <c r="B81" s="388"/>
      <c r="C81" s="388"/>
      <c r="D81" s="388"/>
      <c r="F81" s="389"/>
      <c r="G81" s="389"/>
      <c r="H81" s="389"/>
      <c r="I81" s="389"/>
    </row>
    <row r="82" spans="1:9" x14ac:dyDescent="0.2">
      <c r="A82" s="388"/>
      <c r="B82" s="388"/>
      <c r="C82" s="388"/>
      <c r="D82" s="388"/>
      <c r="F82" s="389"/>
      <c r="G82" s="389"/>
      <c r="H82" s="389"/>
      <c r="I82" s="389"/>
    </row>
    <row r="83" spans="1:9" x14ac:dyDescent="0.2">
      <c r="F83" s="389"/>
      <c r="G83" s="389"/>
      <c r="H83" s="389"/>
      <c r="I83" s="389"/>
    </row>
    <row r="84" spans="1:9" x14ac:dyDescent="0.2">
      <c r="A84" s="388" t="s">
        <v>215</v>
      </c>
      <c r="B84" s="388"/>
      <c r="C84" s="388"/>
      <c r="D84" s="388"/>
      <c r="F84" s="389"/>
      <c r="G84" s="389"/>
      <c r="H84" s="389"/>
      <c r="I84" s="389"/>
    </row>
    <row r="85" spans="1:9" x14ac:dyDescent="0.2">
      <c r="A85" s="388"/>
      <c r="B85" s="388"/>
      <c r="C85" s="388"/>
      <c r="D85" s="388"/>
      <c r="F85" s="216"/>
      <c r="G85" s="216"/>
      <c r="H85" s="216"/>
      <c r="I85" s="216"/>
    </row>
    <row r="86" spans="1:9" x14ac:dyDescent="0.2">
      <c r="A86" s="388"/>
      <c r="B86" s="388"/>
      <c r="C86" s="388"/>
      <c r="D86" s="388"/>
      <c r="F86" s="388" t="s">
        <v>225</v>
      </c>
      <c r="G86" s="388"/>
      <c r="H86" s="388"/>
      <c r="I86" s="388"/>
    </row>
    <row r="87" spans="1:9" x14ac:dyDescent="0.2">
      <c r="A87" s="388"/>
      <c r="B87" s="388"/>
      <c r="C87" s="388"/>
      <c r="D87" s="388"/>
      <c r="F87" s="388"/>
      <c r="G87" s="388"/>
      <c r="H87" s="388"/>
      <c r="I87" s="388"/>
    </row>
    <row r="89" spans="1:9" x14ac:dyDescent="0.2">
      <c r="A89" s="384" t="s">
        <v>217</v>
      </c>
      <c r="B89" s="384"/>
      <c r="C89" s="384"/>
      <c r="D89" s="384"/>
      <c r="F89" s="388" t="s">
        <v>226</v>
      </c>
      <c r="G89" s="388"/>
      <c r="H89" s="388"/>
      <c r="I89" s="388"/>
    </row>
    <row r="90" spans="1:9" x14ac:dyDescent="0.2">
      <c r="A90" s="384"/>
      <c r="B90" s="384"/>
      <c r="C90" s="384"/>
      <c r="D90" s="384"/>
      <c r="F90" s="388"/>
      <c r="G90" s="388"/>
      <c r="H90" s="388"/>
      <c r="I90" s="388"/>
    </row>
    <row r="92" spans="1:9" ht="12.75" customHeight="1" x14ac:dyDescent="0.2">
      <c r="A92" s="384" t="s">
        <v>218</v>
      </c>
      <c r="B92" s="384"/>
      <c r="C92" s="384"/>
      <c r="D92" s="384"/>
      <c r="F92" s="384" t="s">
        <v>247</v>
      </c>
      <c r="G92" s="384"/>
      <c r="H92" s="384"/>
      <c r="I92" s="384"/>
    </row>
    <row r="93" spans="1:9" x14ac:dyDescent="0.2">
      <c r="A93" s="384"/>
      <c r="B93" s="384"/>
      <c r="C93" s="384"/>
      <c r="D93" s="384"/>
      <c r="F93" s="384"/>
      <c r="G93" s="384"/>
      <c r="H93" s="384"/>
      <c r="I93" s="384"/>
    </row>
    <row r="94" spans="1:9" x14ac:dyDescent="0.2">
      <c r="A94" s="384"/>
      <c r="B94" s="384"/>
      <c r="C94" s="384"/>
      <c r="D94" s="384"/>
      <c r="F94" s="384"/>
      <c r="G94" s="384"/>
      <c r="H94" s="384"/>
      <c r="I94" s="384"/>
    </row>
    <row r="95" spans="1:9" x14ac:dyDescent="0.2">
      <c r="A95" s="384"/>
      <c r="B95" s="384"/>
      <c r="C95" s="384"/>
      <c r="D95" s="384"/>
      <c r="F95" s="384"/>
      <c r="G95" s="384"/>
      <c r="H95" s="384"/>
      <c r="I95" s="384"/>
    </row>
    <row r="96" spans="1:9" x14ac:dyDescent="0.2">
      <c r="A96" s="384"/>
      <c r="B96" s="384"/>
      <c r="C96" s="384"/>
      <c r="D96" s="384"/>
      <c r="F96" s="384"/>
      <c r="G96" s="384"/>
      <c r="H96" s="384"/>
      <c r="I96" s="384"/>
    </row>
    <row r="97" spans="1:9" x14ac:dyDescent="0.2">
      <c r="A97" s="384"/>
      <c r="B97" s="384"/>
      <c r="C97" s="384"/>
      <c r="D97" s="384"/>
      <c r="F97" s="195"/>
      <c r="G97" s="195"/>
      <c r="H97" s="195"/>
      <c r="I97" s="195"/>
    </row>
    <row r="98" spans="1:9" ht="12.75" customHeight="1" x14ac:dyDescent="0.2">
      <c r="F98" s="384" t="s">
        <v>249</v>
      </c>
      <c r="G98" s="384"/>
      <c r="H98" s="384"/>
      <c r="I98" s="384"/>
    </row>
    <row r="99" spans="1:9" x14ac:dyDescent="0.2">
      <c r="A99" s="384" t="s">
        <v>219</v>
      </c>
      <c r="B99" s="384"/>
      <c r="C99" s="384"/>
      <c r="D99" s="384"/>
      <c r="F99" s="384"/>
      <c r="G99" s="384"/>
      <c r="H99" s="384"/>
      <c r="I99" s="384"/>
    </row>
    <row r="100" spans="1:9" x14ac:dyDescent="0.2">
      <c r="A100" s="384"/>
      <c r="B100" s="384"/>
      <c r="C100" s="384"/>
      <c r="D100" s="384"/>
      <c r="F100" s="384"/>
      <c r="G100" s="384"/>
      <c r="H100" s="384"/>
      <c r="I100" s="384"/>
    </row>
    <row r="101" spans="1:9" x14ac:dyDescent="0.2">
      <c r="A101" s="384"/>
      <c r="B101" s="384"/>
      <c r="C101" s="384"/>
      <c r="D101" s="384"/>
      <c r="F101" s="384"/>
      <c r="G101" s="384"/>
      <c r="H101" s="384"/>
      <c r="I101" s="384"/>
    </row>
    <row r="102" spans="1:9" x14ac:dyDescent="0.2">
      <c r="F102" s="384"/>
      <c r="G102" s="384"/>
      <c r="H102" s="384"/>
      <c r="I102" s="384"/>
    </row>
    <row r="103" spans="1:9" x14ac:dyDescent="0.2">
      <c r="A103" s="388" t="s">
        <v>220</v>
      </c>
      <c r="B103" s="388"/>
      <c r="C103" s="388"/>
      <c r="D103" s="388"/>
      <c r="F103" s="384"/>
      <c r="G103" s="384"/>
      <c r="H103" s="384"/>
      <c r="I103" s="384"/>
    </row>
    <row r="104" spans="1:9" x14ac:dyDescent="0.2">
      <c r="A104" s="388"/>
      <c r="B104" s="388"/>
      <c r="C104" s="388"/>
      <c r="D104" s="388"/>
      <c r="F104" s="384"/>
      <c r="G104" s="384"/>
      <c r="H104" s="384"/>
      <c r="I104" s="384"/>
    </row>
    <row r="105" spans="1:9" x14ac:dyDescent="0.2">
      <c r="F105" s="384"/>
      <c r="G105" s="384"/>
      <c r="H105" s="384"/>
      <c r="I105" s="384"/>
    </row>
    <row r="106" spans="1:9" ht="12.75" customHeight="1" x14ac:dyDescent="0.2">
      <c r="A106" s="384" t="s">
        <v>246</v>
      </c>
      <c r="B106" s="384"/>
      <c r="C106" s="384"/>
      <c r="D106" s="384"/>
      <c r="F106" s="384"/>
      <c r="G106" s="384"/>
      <c r="H106" s="384"/>
      <c r="I106" s="384"/>
    </row>
    <row r="107" spans="1:9" x14ac:dyDescent="0.2">
      <c r="A107" s="384"/>
      <c r="B107" s="384"/>
      <c r="C107" s="384"/>
      <c r="D107" s="384"/>
      <c r="F107" s="384"/>
      <c r="G107" s="384"/>
      <c r="H107" s="384"/>
      <c r="I107" s="384"/>
    </row>
    <row r="108" spans="1:9" x14ac:dyDescent="0.2">
      <c r="A108" s="384"/>
      <c r="B108" s="384"/>
      <c r="C108" s="384"/>
      <c r="D108" s="384"/>
      <c r="F108" s="384"/>
      <c r="G108" s="384"/>
      <c r="H108" s="384"/>
      <c r="I108" s="384"/>
    </row>
    <row r="109" spans="1:9" x14ac:dyDescent="0.2">
      <c r="A109" s="384"/>
      <c r="B109" s="384"/>
      <c r="C109" s="384"/>
      <c r="D109" s="384"/>
      <c r="F109" s="384"/>
      <c r="G109" s="384"/>
      <c r="H109" s="384"/>
      <c r="I109" s="384"/>
    </row>
    <row r="110" spans="1:9" x14ac:dyDescent="0.2">
      <c r="A110" s="384"/>
      <c r="B110" s="384"/>
      <c r="C110" s="384"/>
      <c r="D110" s="384"/>
      <c r="F110" s="384"/>
      <c r="G110" s="384"/>
      <c r="H110" s="384"/>
      <c r="I110" s="384"/>
    </row>
    <row r="111" spans="1:9" x14ac:dyDescent="0.2">
      <c r="A111" s="384"/>
      <c r="B111" s="384"/>
      <c r="C111" s="384"/>
      <c r="D111" s="384"/>
      <c r="F111" s="384"/>
      <c r="G111" s="384"/>
      <c r="H111" s="384"/>
      <c r="I111" s="384"/>
    </row>
    <row r="112" spans="1:9" x14ac:dyDescent="0.2">
      <c r="A112" s="384"/>
      <c r="B112" s="384"/>
      <c r="C112" s="384"/>
      <c r="D112" s="384"/>
      <c r="F112" s="384"/>
      <c r="G112" s="384"/>
      <c r="H112" s="384"/>
      <c r="I112" s="384"/>
    </row>
    <row r="113" spans="1:9" x14ac:dyDescent="0.2">
      <c r="A113" s="195"/>
      <c r="B113" s="195"/>
      <c r="C113" s="195"/>
      <c r="D113" s="195"/>
      <c r="F113" s="384"/>
      <c r="G113" s="384"/>
      <c r="H113" s="384"/>
      <c r="I113" s="384"/>
    </row>
    <row r="114" spans="1:9" x14ac:dyDescent="0.2">
      <c r="A114" s="384" t="s">
        <v>221</v>
      </c>
      <c r="B114" s="384"/>
      <c r="C114" s="384"/>
      <c r="D114" s="384"/>
      <c r="F114" s="384"/>
      <c r="G114" s="384"/>
      <c r="H114" s="384"/>
      <c r="I114" s="384"/>
    </row>
    <row r="115" spans="1:9" x14ac:dyDescent="0.2">
      <c r="A115" s="384"/>
      <c r="B115" s="384"/>
      <c r="C115" s="384"/>
      <c r="D115" s="384"/>
      <c r="F115" s="384"/>
      <c r="G115" s="384"/>
      <c r="H115" s="384"/>
      <c r="I115" s="384"/>
    </row>
    <row r="116" spans="1:9" x14ac:dyDescent="0.2">
      <c r="A116" s="384"/>
      <c r="B116" s="384"/>
      <c r="C116" s="384"/>
      <c r="D116" s="384"/>
      <c r="F116" s="384"/>
      <c r="G116" s="384"/>
      <c r="H116" s="384"/>
      <c r="I116" s="384"/>
    </row>
    <row r="117" spans="1:9" x14ac:dyDescent="0.2">
      <c r="A117" s="384"/>
      <c r="B117" s="384"/>
      <c r="C117" s="384"/>
      <c r="D117" s="384"/>
      <c r="F117" s="384"/>
      <c r="G117" s="384"/>
      <c r="H117" s="384"/>
      <c r="I117" s="384"/>
    </row>
    <row r="118" spans="1:9" x14ac:dyDescent="0.2">
      <c r="F118" s="384"/>
      <c r="G118" s="384"/>
      <c r="H118" s="384"/>
      <c r="I118" s="384"/>
    </row>
    <row r="119" spans="1:9" ht="12.75" customHeight="1" x14ac:dyDescent="0.2">
      <c r="A119" s="384" t="s">
        <v>222</v>
      </c>
      <c r="B119" s="384"/>
      <c r="C119" s="384"/>
      <c r="D119" s="384"/>
      <c r="F119" s="384"/>
      <c r="G119" s="384"/>
      <c r="H119" s="384"/>
      <c r="I119" s="384"/>
    </row>
    <row r="120" spans="1:9" x14ac:dyDescent="0.2">
      <c r="A120" s="384"/>
      <c r="B120" s="384"/>
      <c r="C120" s="384"/>
      <c r="D120" s="384"/>
    </row>
    <row r="121" spans="1:9" x14ac:dyDescent="0.2">
      <c r="A121" s="384"/>
      <c r="B121" s="384"/>
      <c r="C121" s="384"/>
      <c r="D121" s="384"/>
      <c r="F121" s="384" t="s">
        <v>227</v>
      </c>
      <c r="G121" s="384"/>
      <c r="H121" s="384"/>
      <c r="I121" s="384"/>
    </row>
    <row r="122" spans="1:9" x14ac:dyDescent="0.2">
      <c r="A122" s="384"/>
      <c r="B122" s="384"/>
      <c r="C122" s="384"/>
      <c r="D122" s="384"/>
      <c r="F122" s="384"/>
      <c r="G122" s="384"/>
      <c r="H122" s="384"/>
      <c r="I122" s="384"/>
    </row>
    <row r="123" spans="1:9" ht="12.75" customHeight="1" x14ac:dyDescent="0.2">
      <c r="A123" s="384"/>
      <c r="B123" s="384"/>
      <c r="C123" s="384"/>
      <c r="D123" s="384"/>
      <c r="F123" s="384"/>
      <c r="G123" s="384"/>
      <c r="H123" s="384"/>
      <c r="I123" s="384"/>
    </row>
    <row r="124" spans="1:9" x14ac:dyDescent="0.2">
      <c r="A124" s="384"/>
      <c r="B124" s="384"/>
      <c r="C124" s="384"/>
      <c r="D124" s="384"/>
      <c r="F124" s="384"/>
      <c r="G124" s="384"/>
      <c r="H124" s="384"/>
      <c r="I124" s="384"/>
    </row>
    <row r="126" spans="1:9" ht="12.75" customHeight="1" x14ac:dyDescent="0.2">
      <c r="A126" s="384" t="s">
        <v>223</v>
      </c>
      <c r="B126" s="384"/>
      <c r="C126" s="384"/>
      <c r="D126" s="384"/>
      <c r="F126" s="384" t="s">
        <v>231</v>
      </c>
      <c r="G126" s="384"/>
      <c r="H126" s="384"/>
      <c r="I126" s="384"/>
    </row>
    <row r="127" spans="1:9" x14ac:dyDescent="0.2">
      <c r="A127" s="384"/>
      <c r="B127" s="384"/>
      <c r="C127" s="384"/>
      <c r="D127" s="384"/>
      <c r="F127" s="384"/>
      <c r="G127" s="384"/>
      <c r="H127" s="384"/>
      <c r="I127" s="384"/>
    </row>
    <row r="128" spans="1:9" x14ac:dyDescent="0.2">
      <c r="A128" s="384"/>
      <c r="B128" s="384"/>
      <c r="C128" s="384"/>
      <c r="D128" s="384"/>
      <c r="F128" s="384"/>
      <c r="G128" s="384"/>
      <c r="H128" s="384"/>
      <c r="I128" s="384"/>
    </row>
    <row r="129" spans="6:9" customFormat="1" x14ac:dyDescent="0.2">
      <c r="F129" s="384"/>
      <c r="G129" s="384"/>
      <c r="H129" s="384"/>
      <c r="I129" s="384"/>
    </row>
    <row r="130" spans="6:9" customFormat="1" x14ac:dyDescent="0.2">
      <c r="F130" s="222"/>
      <c r="G130" s="222"/>
      <c r="H130" s="222"/>
      <c r="I130" s="222"/>
    </row>
    <row r="131" spans="6:9" customFormat="1" x14ac:dyDescent="0.2">
      <c r="F131" s="222"/>
      <c r="G131" s="222"/>
      <c r="H131" s="222"/>
      <c r="I131" s="222"/>
    </row>
  </sheetData>
  <sheetProtection password="C462" sheet="1" objects="1" scenarios="1"/>
  <mergeCells count="19">
    <mergeCell ref="A126:D128"/>
    <mergeCell ref="F74:I84"/>
    <mergeCell ref="F86:I87"/>
    <mergeCell ref="F89:I90"/>
    <mergeCell ref="F92:I96"/>
    <mergeCell ref="A99:D101"/>
    <mergeCell ref="A103:D104"/>
    <mergeCell ref="A106:D112"/>
    <mergeCell ref="A114:D117"/>
    <mergeCell ref="A84:D87"/>
    <mergeCell ref="F121:I124"/>
    <mergeCell ref="F126:I129"/>
    <mergeCell ref="A89:D90"/>
    <mergeCell ref="A92:D97"/>
    <mergeCell ref="F98:I119"/>
    <mergeCell ref="A34:I35"/>
    <mergeCell ref="A17:B17"/>
    <mergeCell ref="A74:D82"/>
    <mergeCell ref="A119:D124"/>
  </mergeCells>
  <pageMargins left="0.70866141732283472" right="0.70866141732283472" top="0.74803149606299213" bottom="0.74803149606299213" header="0.31496062992125984" footer="0.31496062992125984"/>
  <pageSetup paperSize="9" scale="53" fitToHeight="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100"/>
  <sheetViews>
    <sheetView zoomScale="85" zoomScaleNormal="85" workbookViewId="0">
      <selection activeCell="A50" sqref="A50:G52"/>
    </sheetView>
  </sheetViews>
  <sheetFormatPr defaultRowHeight="12.75" x14ac:dyDescent="0.2"/>
  <cols>
    <col min="1" max="1" width="50" customWidth="1"/>
    <col min="2" max="2" width="25.7109375" customWidth="1"/>
    <col min="3" max="3" width="3.42578125" customWidth="1"/>
    <col min="4" max="5" width="25.7109375" customWidth="1"/>
    <col min="6" max="6" width="37.7109375" customWidth="1"/>
    <col min="7" max="7" width="40.7109375" customWidth="1"/>
  </cols>
  <sheetData>
    <row r="1" spans="1:9" ht="18" x14ac:dyDescent="0.25">
      <c r="A1" s="165" t="s">
        <v>186</v>
      </c>
    </row>
    <row r="3" spans="1:9" ht="24.75" customHeight="1" x14ac:dyDescent="0.2">
      <c r="A3" s="157" t="s">
        <v>205</v>
      </c>
      <c r="B3" s="158" t="s">
        <v>170</v>
      </c>
      <c r="C3" s="158"/>
      <c r="E3">
        <v>2</v>
      </c>
      <c r="F3" s="155" t="s">
        <v>174</v>
      </c>
      <c r="G3" s="155" t="s">
        <v>175</v>
      </c>
      <c r="H3" s="187"/>
      <c r="I3" s="65"/>
    </row>
    <row r="4" spans="1:9" x14ac:dyDescent="0.2">
      <c r="A4" s="146" t="s">
        <v>34</v>
      </c>
      <c r="B4" s="130">
        <f>'Solutions 4'!H7+'Solutions 4'!H18</f>
        <v>282730</v>
      </c>
      <c r="C4" s="130"/>
      <c r="F4" s="174" t="s">
        <v>206</v>
      </c>
      <c r="G4" s="193" t="s">
        <v>138</v>
      </c>
      <c r="H4" s="77"/>
      <c r="I4" s="65"/>
    </row>
    <row r="5" spans="1:9" x14ac:dyDescent="0.2">
      <c r="A5" s="146" t="s">
        <v>35</v>
      </c>
      <c r="B5" s="130">
        <f>'Solutions 4'!H22</f>
        <v>24800</v>
      </c>
      <c r="C5" s="130"/>
      <c r="F5" s="191" t="s">
        <v>115</v>
      </c>
      <c r="G5" s="189"/>
      <c r="H5" s="77"/>
      <c r="I5" s="65"/>
    </row>
    <row r="6" spans="1:9" x14ac:dyDescent="0.2">
      <c r="A6" s="146"/>
      <c r="B6" s="159">
        <f>SUM(B4:B5)</f>
        <v>307530</v>
      </c>
      <c r="C6" s="162">
        <v>1</v>
      </c>
      <c r="D6" s="183"/>
      <c r="F6" s="192" t="s">
        <v>207</v>
      </c>
      <c r="G6" s="189"/>
      <c r="H6" s="77"/>
      <c r="I6" s="65"/>
    </row>
    <row r="7" spans="1:9" x14ac:dyDescent="0.2">
      <c r="B7" s="130"/>
      <c r="C7" s="162"/>
      <c r="D7" s="183"/>
      <c r="F7" s="191" t="s">
        <v>121</v>
      </c>
      <c r="G7" s="189"/>
      <c r="H7" s="77"/>
      <c r="I7" s="65"/>
    </row>
    <row r="8" spans="1:9" x14ac:dyDescent="0.2">
      <c r="A8" s="147" t="s">
        <v>208</v>
      </c>
      <c r="B8" s="13">
        <f>(195*45)*218</f>
        <v>1912950</v>
      </c>
      <c r="C8" s="162">
        <v>3</v>
      </c>
      <c r="D8" s="183"/>
      <c r="F8" s="191" t="s">
        <v>123</v>
      </c>
      <c r="G8" s="189"/>
      <c r="H8" s="77"/>
      <c r="I8" s="65"/>
    </row>
    <row r="9" spans="1:9" x14ac:dyDescent="0.2">
      <c r="A9" s="147" t="s">
        <v>213</v>
      </c>
      <c r="B9" s="13">
        <f>B15*218</f>
        <v>47524</v>
      </c>
      <c r="C9" s="162"/>
      <c r="D9" s="183"/>
      <c r="F9" s="191" t="s">
        <v>125</v>
      </c>
      <c r="G9" s="189"/>
      <c r="H9" s="77"/>
      <c r="I9" s="65"/>
    </row>
    <row r="10" spans="1:9" x14ac:dyDescent="0.2">
      <c r="A10" s="147"/>
      <c r="C10" s="162"/>
      <c r="D10" s="183"/>
      <c r="F10" s="192" t="s">
        <v>20</v>
      </c>
      <c r="G10" s="189"/>
      <c r="H10" s="77"/>
      <c r="I10" s="65"/>
    </row>
    <row r="11" spans="1:9" x14ac:dyDescent="0.2">
      <c r="A11" s="391" t="s">
        <v>230</v>
      </c>
      <c r="B11" s="199">
        <f>B6+B8+B9</f>
        <v>2268004</v>
      </c>
      <c r="C11" s="162">
        <v>4</v>
      </c>
      <c r="D11" s="183"/>
      <c r="F11" s="191" t="s">
        <v>129</v>
      </c>
      <c r="G11" s="189"/>
      <c r="H11" s="77"/>
      <c r="I11" s="65"/>
    </row>
    <row r="12" spans="1:9" x14ac:dyDescent="0.2">
      <c r="A12" s="391"/>
      <c r="B12" s="198"/>
      <c r="C12" s="162"/>
      <c r="D12" s="183"/>
      <c r="F12" s="191" t="s">
        <v>129</v>
      </c>
      <c r="G12" s="189"/>
      <c r="H12" s="77"/>
      <c r="I12" s="65"/>
    </row>
    <row r="13" spans="1:9" ht="13.5" thickBot="1" x14ac:dyDescent="0.25">
      <c r="C13" s="162"/>
      <c r="D13" s="183"/>
      <c r="F13" s="191" t="s">
        <v>131</v>
      </c>
      <c r="G13" s="189"/>
      <c r="H13" s="77"/>
      <c r="I13" s="65"/>
    </row>
    <row r="14" spans="1:9" x14ac:dyDescent="0.2">
      <c r="A14" s="148" t="s">
        <v>172</v>
      </c>
      <c r="B14" s="149" t="s">
        <v>73</v>
      </c>
      <c r="C14" s="162">
        <v>5</v>
      </c>
      <c r="D14" s="183"/>
      <c r="G14" s="189"/>
      <c r="H14" s="77"/>
      <c r="I14" s="65"/>
    </row>
    <row r="15" spans="1:9" x14ac:dyDescent="0.2">
      <c r="A15" s="151" t="s">
        <v>154</v>
      </c>
      <c r="B15" s="150">
        <v>218</v>
      </c>
      <c r="C15" s="162"/>
      <c r="D15" s="183"/>
      <c r="G15" s="189"/>
      <c r="H15" s="77"/>
      <c r="I15" s="65"/>
    </row>
    <row r="16" spans="1:9" ht="13.5" thickBot="1" x14ac:dyDescent="0.25">
      <c r="A16" s="168" t="s">
        <v>173</v>
      </c>
      <c r="B16" s="169">
        <v>218</v>
      </c>
      <c r="C16" s="162"/>
      <c r="D16" s="183"/>
      <c r="G16" s="189"/>
      <c r="H16" s="77"/>
      <c r="I16" s="65"/>
    </row>
    <row r="17" spans="1:9" ht="13.5" thickBot="1" x14ac:dyDescent="0.25">
      <c r="C17" s="162"/>
      <c r="D17" s="183"/>
      <c r="F17" s="190"/>
      <c r="G17" s="189"/>
      <c r="H17" s="77"/>
      <c r="I17" s="65"/>
    </row>
    <row r="18" spans="1:9" x14ac:dyDescent="0.2">
      <c r="A18" s="170" t="s">
        <v>177</v>
      </c>
      <c r="B18" s="171" t="s">
        <v>178</v>
      </c>
      <c r="C18" s="162"/>
      <c r="D18" s="183"/>
      <c r="F18" s="190"/>
      <c r="G18" s="188"/>
      <c r="H18" s="77"/>
      <c r="I18" s="65"/>
    </row>
    <row r="19" spans="1:9" ht="13.5" thickBot="1" x14ac:dyDescent="0.25">
      <c r="A19" s="177" t="s">
        <v>214</v>
      </c>
      <c r="B19" s="194">
        <f>(195*45)+200</f>
        <v>8975</v>
      </c>
      <c r="C19" s="162">
        <v>6</v>
      </c>
      <c r="D19" s="183"/>
      <c r="F19" s="190"/>
      <c r="G19" s="76"/>
      <c r="H19" s="77"/>
      <c r="I19" s="65"/>
    </row>
    <row r="21" spans="1:9" ht="13.5" thickBot="1" x14ac:dyDescent="0.25">
      <c r="A21" s="19"/>
      <c r="B21" s="19"/>
      <c r="C21" s="19"/>
      <c r="D21" s="19"/>
      <c r="E21" s="19"/>
      <c r="F21" s="19"/>
      <c r="G21" s="19"/>
      <c r="H21" s="19"/>
      <c r="I21" s="19"/>
    </row>
    <row r="23" spans="1:9" ht="18" x14ac:dyDescent="0.25">
      <c r="A23" s="165" t="s">
        <v>191</v>
      </c>
    </row>
    <row r="25" spans="1:9" ht="12.75" customHeight="1" x14ac:dyDescent="0.2">
      <c r="A25" s="385" t="s">
        <v>192</v>
      </c>
      <c r="B25" s="385"/>
      <c r="C25" s="385"/>
      <c r="D25" s="385"/>
      <c r="E25" s="385"/>
      <c r="F25" s="385"/>
      <c r="G25" s="385"/>
      <c r="H25" s="385"/>
      <c r="I25" s="195"/>
    </row>
    <row r="26" spans="1:9" x14ac:dyDescent="0.2">
      <c r="A26" s="385"/>
      <c r="B26" s="385"/>
      <c r="C26" s="385"/>
      <c r="D26" s="385"/>
      <c r="E26" s="385"/>
      <c r="F26" s="385"/>
      <c r="G26" s="385"/>
      <c r="H26" s="385"/>
      <c r="I26" s="195"/>
    </row>
    <row r="28" spans="1:9" x14ac:dyDescent="0.2">
      <c r="B28" s="7" t="s">
        <v>161</v>
      </c>
      <c r="C28" s="162"/>
      <c r="E28" s="7"/>
    </row>
    <row r="29" spans="1:9" x14ac:dyDescent="0.2">
      <c r="A29" t="str">
        <f>'Summary 201516'!A31</f>
        <v>Place Funding: April 15 - August 15</v>
      </c>
      <c r="B29" s="13">
        <f>'Summary 201516'!B31</f>
        <v>8000</v>
      </c>
      <c r="C29" s="219">
        <v>7</v>
      </c>
      <c r="D29" s="218"/>
      <c r="E29" s="13"/>
    </row>
    <row r="30" spans="1:9" x14ac:dyDescent="0.2">
      <c r="A30" t="str">
        <f>'Summary 201516'!A32</f>
        <v>Place Funding: September 15 - March 16</v>
      </c>
      <c r="B30" s="13">
        <f>'Summary 201516'!B32</f>
        <v>10000</v>
      </c>
      <c r="C30" s="13"/>
      <c r="D30" s="13"/>
      <c r="E30" s="13"/>
    </row>
    <row r="31" spans="1:9" x14ac:dyDescent="0.2">
      <c r="B31" s="13"/>
      <c r="C31" s="13"/>
      <c r="D31" s="13"/>
      <c r="E31" s="13"/>
    </row>
    <row r="32" spans="1:9" x14ac:dyDescent="0.2">
      <c r="B32" s="7" t="s">
        <v>73</v>
      </c>
      <c r="C32" s="162"/>
      <c r="D32" s="7" t="s">
        <v>193</v>
      </c>
      <c r="E32" s="7" t="s">
        <v>164</v>
      </c>
    </row>
    <row r="33" spans="1:6" x14ac:dyDescent="0.2">
      <c r="A33" t="str">
        <f>A29</f>
        <v>Place Funding: April 15 - August 15</v>
      </c>
      <c r="B33" s="7">
        <v>218</v>
      </c>
      <c r="C33" s="219">
        <v>8</v>
      </c>
      <c r="D33" s="13">
        <f>B29*(5/12)</f>
        <v>3333.3333333333335</v>
      </c>
      <c r="E33" s="13">
        <f>B33*D33</f>
        <v>726666.66666666674</v>
      </c>
    </row>
    <row r="34" spans="1:6" x14ac:dyDescent="0.2">
      <c r="A34" t="str">
        <f>A30</f>
        <v>Place Funding: September 15 - March 16</v>
      </c>
      <c r="B34" s="7">
        <v>218</v>
      </c>
      <c r="C34" s="162"/>
      <c r="D34" s="13">
        <f>B30*(7/12)</f>
        <v>5833.3333333333339</v>
      </c>
      <c r="E34" s="13">
        <f>B34*D34</f>
        <v>1271666.6666666667</v>
      </c>
    </row>
    <row r="35" spans="1:6" x14ac:dyDescent="0.2">
      <c r="D35" s="113">
        <f>SUM(D33:D34)</f>
        <v>9166.6666666666679</v>
      </c>
      <c r="E35" s="113">
        <f>SUM(E33:E34)</f>
        <v>1998333.3333333335</v>
      </c>
      <c r="F35" s="218">
        <v>9</v>
      </c>
    </row>
    <row r="36" spans="1:6" x14ac:dyDescent="0.2">
      <c r="D36" s="24"/>
      <c r="E36" s="24"/>
    </row>
    <row r="37" spans="1:6" x14ac:dyDescent="0.2">
      <c r="A37" s="180"/>
      <c r="B37" s="7" t="s">
        <v>196</v>
      </c>
      <c r="C37" s="162"/>
    </row>
    <row r="38" spans="1:6" x14ac:dyDescent="0.2">
      <c r="A38" s="140" t="s">
        <v>194</v>
      </c>
      <c r="B38" s="13">
        <f>'Solutions 4'!B138</f>
        <v>5240.0399999999991</v>
      </c>
      <c r="C38" s="219">
        <v>10</v>
      </c>
    </row>
    <row r="39" spans="1:6" x14ac:dyDescent="0.2">
      <c r="A39" s="140" t="s">
        <v>195</v>
      </c>
      <c r="B39" s="13">
        <f>'Solutions 4'!B139</f>
        <v>880.04000000000144</v>
      </c>
      <c r="C39" s="13"/>
      <c r="D39" s="1"/>
    </row>
    <row r="41" spans="1:6" x14ac:dyDescent="0.2">
      <c r="B41" s="7" t="str">
        <f>'Summary 201516'!D51</f>
        <v>Pupil-led</v>
      </c>
      <c r="C41" s="162"/>
      <c r="D41" s="7" t="str">
        <f>'Summary 201516'!E51</f>
        <v>Top up Value</v>
      </c>
      <c r="E41" s="7" t="str">
        <f>'Summary 201516'!F51</f>
        <v>Top up Funding</v>
      </c>
    </row>
    <row r="42" spans="1:6" x14ac:dyDescent="0.2">
      <c r="A42" s="181" t="s">
        <v>197</v>
      </c>
      <c r="B42" s="7">
        <f>'Solutions 4'!B142</f>
        <v>100</v>
      </c>
      <c r="C42" s="162">
        <v>11</v>
      </c>
      <c r="D42" s="13">
        <f>'Solutions 4'!C142</f>
        <v>2183.35</v>
      </c>
      <c r="E42" s="13">
        <f>'Solutions 4'!D142</f>
        <v>218335</v>
      </c>
    </row>
    <row r="43" spans="1:6" x14ac:dyDescent="0.2">
      <c r="A43" s="181" t="s">
        <v>198</v>
      </c>
      <c r="B43" s="7">
        <f>'Solutions 4'!B143</f>
        <v>100</v>
      </c>
      <c r="C43" s="162"/>
      <c r="D43" s="13">
        <f>'Solutions 4'!C143</f>
        <v>513.35666666666748</v>
      </c>
      <c r="E43" s="13">
        <f>'Solutions 4'!D143</f>
        <v>51335.666666666744</v>
      </c>
    </row>
    <row r="44" spans="1:6" x14ac:dyDescent="0.2">
      <c r="D44" s="113">
        <f>'Solutions 4'!C144</f>
        <v>2696.7066666666674</v>
      </c>
      <c r="E44" s="113">
        <f>'Solutions 4'!D144</f>
        <v>269670.66666666674</v>
      </c>
      <c r="F44" s="183">
        <v>12</v>
      </c>
    </row>
    <row r="45" spans="1:6" x14ac:dyDescent="0.2">
      <c r="F45" s="183"/>
    </row>
    <row r="46" spans="1:6" x14ac:dyDescent="0.2">
      <c r="F46" s="183"/>
    </row>
    <row r="47" spans="1:6" x14ac:dyDescent="0.2">
      <c r="B47" s="182" t="str">
        <f>'Summary 201516'!D62</f>
        <v>2015/16 Indicative Place-led and Top up Funding</v>
      </c>
      <c r="C47" s="182"/>
      <c r="E47" s="116">
        <f>E35+E44</f>
        <v>2268004</v>
      </c>
      <c r="F47" s="183">
        <v>13</v>
      </c>
    </row>
    <row r="50" spans="1:7" ht="12.75" customHeight="1" x14ac:dyDescent="0.2">
      <c r="A50" s="384" t="s">
        <v>243</v>
      </c>
      <c r="B50" s="384"/>
      <c r="C50" s="384"/>
      <c r="D50" s="384"/>
      <c r="E50" s="384"/>
      <c r="F50" s="384"/>
      <c r="G50" s="384"/>
    </row>
    <row r="51" spans="1:7" x14ac:dyDescent="0.2">
      <c r="A51" s="384"/>
      <c r="B51" s="384"/>
      <c r="C51" s="384"/>
      <c r="D51" s="384"/>
      <c r="E51" s="384"/>
      <c r="F51" s="384"/>
      <c r="G51" s="384"/>
    </row>
    <row r="52" spans="1:7" x14ac:dyDescent="0.2">
      <c r="A52" s="384"/>
      <c r="B52" s="384"/>
      <c r="C52" s="384"/>
      <c r="D52" s="384"/>
      <c r="E52" s="384"/>
      <c r="F52" s="384"/>
      <c r="G52" s="384"/>
    </row>
    <row r="53" spans="1:7" x14ac:dyDescent="0.2">
      <c r="A53" s="220"/>
      <c r="B53" s="220"/>
      <c r="C53" s="220"/>
      <c r="D53" s="220"/>
      <c r="E53" s="220"/>
      <c r="F53" s="220"/>
      <c r="G53" s="220"/>
    </row>
    <row r="54" spans="1:7" ht="12.75" customHeight="1" x14ac:dyDescent="0.2">
      <c r="A54" s="384" t="s">
        <v>233</v>
      </c>
      <c r="B54" s="384"/>
      <c r="C54" s="384"/>
      <c r="D54" s="384"/>
      <c r="E54" s="384"/>
      <c r="F54" s="384"/>
      <c r="G54" s="384"/>
    </row>
    <row r="55" spans="1:7" x14ac:dyDescent="0.2">
      <c r="A55" s="384"/>
      <c r="B55" s="384"/>
      <c r="C55" s="384"/>
      <c r="D55" s="384"/>
      <c r="E55" s="384"/>
      <c r="F55" s="384"/>
      <c r="G55" s="384"/>
    </row>
    <row r="56" spans="1:7" ht="12.75" customHeight="1" x14ac:dyDescent="0.2">
      <c r="A56" s="384"/>
      <c r="B56" s="384"/>
      <c r="C56" s="384"/>
      <c r="D56" s="384"/>
      <c r="E56" s="384"/>
      <c r="F56" s="384"/>
      <c r="G56" s="384"/>
    </row>
    <row r="57" spans="1:7" x14ac:dyDescent="0.2">
      <c r="A57" s="384"/>
      <c r="B57" s="384"/>
      <c r="C57" s="384"/>
      <c r="D57" s="384"/>
      <c r="E57" s="384"/>
      <c r="F57" s="384"/>
      <c r="G57" s="384"/>
    </row>
    <row r="58" spans="1:7" x14ac:dyDescent="0.2">
      <c r="A58" s="215"/>
      <c r="B58" s="215"/>
      <c r="C58" s="215"/>
      <c r="D58" s="215"/>
      <c r="E58" s="215"/>
    </row>
    <row r="59" spans="1:7" ht="12.75" customHeight="1" x14ac:dyDescent="0.2">
      <c r="A59" s="384" t="s">
        <v>248</v>
      </c>
      <c r="B59" s="384"/>
      <c r="C59" s="384"/>
      <c r="D59" s="384"/>
      <c r="E59" s="384"/>
      <c r="F59" s="384"/>
      <c r="G59" s="384"/>
    </row>
    <row r="60" spans="1:7" x14ac:dyDescent="0.2">
      <c r="A60" s="384"/>
      <c r="B60" s="384"/>
      <c r="C60" s="384"/>
      <c r="D60" s="384"/>
      <c r="E60" s="384"/>
      <c r="F60" s="384"/>
      <c r="G60" s="384"/>
    </row>
    <row r="61" spans="1:7" x14ac:dyDescent="0.2">
      <c r="A61" s="384"/>
      <c r="B61" s="384"/>
      <c r="C61" s="384"/>
      <c r="D61" s="384"/>
      <c r="E61" s="384"/>
      <c r="F61" s="384"/>
      <c r="G61" s="384"/>
    </row>
    <row r="62" spans="1:7" ht="12.75" customHeight="1" x14ac:dyDescent="0.2">
      <c r="A62" s="384"/>
      <c r="B62" s="384"/>
      <c r="C62" s="384"/>
      <c r="D62" s="384"/>
      <c r="E62" s="384"/>
      <c r="F62" s="384"/>
      <c r="G62" s="384"/>
    </row>
    <row r="63" spans="1:7" x14ac:dyDescent="0.2">
      <c r="A63" s="221"/>
      <c r="B63" s="221"/>
      <c r="C63" s="221"/>
      <c r="D63" s="221"/>
      <c r="E63" s="221"/>
    </row>
    <row r="64" spans="1:7" x14ac:dyDescent="0.2">
      <c r="A64" s="384" t="s">
        <v>234</v>
      </c>
      <c r="B64" s="384"/>
      <c r="C64" s="384"/>
      <c r="D64" s="384"/>
      <c r="E64" s="384"/>
      <c r="F64" s="384"/>
      <c r="G64" s="384"/>
    </row>
    <row r="65" spans="1:7" x14ac:dyDescent="0.2">
      <c r="A65" s="384"/>
      <c r="B65" s="384"/>
      <c r="C65" s="384"/>
      <c r="D65" s="384"/>
      <c r="E65" s="384"/>
      <c r="F65" s="384"/>
      <c r="G65" s="384"/>
    </row>
    <row r="66" spans="1:7" x14ac:dyDescent="0.2">
      <c r="A66" s="221"/>
      <c r="B66" s="221"/>
      <c r="C66" s="221"/>
      <c r="D66" s="221"/>
      <c r="E66" s="221"/>
    </row>
    <row r="67" spans="1:7" ht="12.75" customHeight="1" x14ac:dyDescent="0.2">
      <c r="A67" s="384" t="s">
        <v>235</v>
      </c>
      <c r="B67" s="384"/>
      <c r="C67" s="384"/>
      <c r="D67" s="384"/>
      <c r="E67" s="384"/>
      <c r="F67" s="384"/>
      <c r="G67" s="384"/>
    </row>
    <row r="68" spans="1:7" ht="12.75" customHeight="1" x14ac:dyDescent="0.2">
      <c r="A68" s="384"/>
      <c r="B68" s="384"/>
      <c r="C68" s="384"/>
      <c r="D68" s="384"/>
      <c r="E68" s="384"/>
      <c r="F68" s="384"/>
      <c r="G68" s="384"/>
    </row>
    <row r="69" spans="1:7" x14ac:dyDescent="0.2">
      <c r="A69" s="220"/>
      <c r="B69" s="220"/>
      <c r="C69" s="220"/>
      <c r="D69" s="220"/>
      <c r="E69" s="220"/>
      <c r="F69" s="220"/>
      <c r="G69" s="220"/>
    </row>
    <row r="70" spans="1:7" x14ac:dyDescent="0.2">
      <c r="A70" s="384" t="s">
        <v>236</v>
      </c>
      <c r="B70" s="384"/>
      <c r="C70" s="384"/>
      <c r="D70" s="384"/>
      <c r="E70" s="384"/>
      <c r="F70" s="384"/>
      <c r="G70" s="384"/>
    </row>
    <row r="71" spans="1:7" x14ac:dyDescent="0.2">
      <c r="A71" s="384"/>
      <c r="B71" s="384"/>
      <c r="C71" s="384"/>
      <c r="D71" s="384"/>
      <c r="E71" s="384"/>
      <c r="F71" s="384"/>
      <c r="G71" s="384"/>
    </row>
    <row r="72" spans="1:7" x14ac:dyDescent="0.2">
      <c r="A72" s="384"/>
      <c r="B72" s="384"/>
      <c r="C72" s="384"/>
      <c r="D72" s="384"/>
      <c r="E72" s="384"/>
      <c r="F72" s="384"/>
      <c r="G72" s="384"/>
    </row>
    <row r="74" spans="1:7" ht="12.75" customHeight="1" x14ac:dyDescent="0.2">
      <c r="A74" s="384" t="s">
        <v>237</v>
      </c>
      <c r="B74" s="384"/>
      <c r="C74" s="384"/>
      <c r="D74" s="384"/>
      <c r="E74" s="384"/>
      <c r="F74" s="384"/>
      <c r="G74" s="384"/>
    </row>
    <row r="75" spans="1:7" x14ac:dyDescent="0.2">
      <c r="A75" s="384"/>
      <c r="B75" s="384"/>
      <c r="C75" s="384"/>
      <c r="D75" s="384"/>
      <c r="E75" s="384"/>
      <c r="F75" s="384"/>
      <c r="G75" s="384"/>
    </row>
    <row r="76" spans="1:7" x14ac:dyDescent="0.2">
      <c r="A76" s="384"/>
      <c r="B76" s="384"/>
      <c r="C76" s="384"/>
      <c r="D76" s="384"/>
      <c r="E76" s="384"/>
      <c r="F76" s="384"/>
      <c r="G76" s="384"/>
    </row>
    <row r="77" spans="1:7" x14ac:dyDescent="0.2">
      <c r="A77" s="384"/>
      <c r="B77" s="384"/>
      <c r="C77" s="384"/>
      <c r="D77" s="384"/>
      <c r="E77" s="384"/>
      <c r="F77" s="384"/>
      <c r="G77" s="384"/>
    </row>
    <row r="78" spans="1:7" x14ac:dyDescent="0.2">
      <c r="A78" s="384"/>
      <c r="B78" s="384"/>
      <c r="C78" s="384"/>
      <c r="D78" s="384"/>
      <c r="E78" s="384"/>
      <c r="F78" s="384"/>
      <c r="G78" s="384"/>
    </row>
    <row r="79" spans="1:7" x14ac:dyDescent="0.2">
      <c r="A79" s="384"/>
      <c r="B79" s="384"/>
      <c r="C79" s="384"/>
      <c r="D79" s="384"/>
      <c r="E79" s="384"/>
      <c r="F79" s="384"/>
      <c r="G79" s="384"/>
    </row>
    <row r="81" spans="1:7" x14ac:dyDescent="0.2">
      <c r="A81" s="390" t="s">
        <v>238</v>
      </c>
      <c r="B81" s="390"/>
      <c r="C81" s="390"/>
      <c r="D81" s="390"/>
      <c r="E81" s="390"/>
      <c r="F81" s="390"/>
      <c r="G81" s="390"/>
    </row>
    <row r="82" spans="1:7" x14ac:dyDescent="0.2">
      <c r="A82" s="390"/>
      <c r="B82" s="390"/>
      <c r="C82" s="390"/>
      <c r="D82" s="390"/>
      <c r="E82" s="390"/>
      <c r="F82" s="390"/>
      <c r="G82" s="390"/>
    </row>
    <row r="84" spans="1:7" x14ac:dyDescent="0.2">
      <c r="A84" s="384" t="s">
        <v>239</v>
      </c>
      <c r="B84" s="384"/>
      <c r="C84" s="384"/>
      <c r="D84" s="384"/>
      <c r="E84" s="384"/>
      <c r="F84" s="384"/>
      <c r="G84" s="384"/>
    </row>
    <row r="85" spans="1:7" x14ac:dyDescent="0.2">
      <c r="A85" s="384"/>
      <c r="B85" s="384"/>
      <c r="C85" s="384"/>
      <c r="D85" s="384"/>
      <c r="E85" s="384"/>
      <c r="F85" s="384"/>
      <c r="G85" s="384"/>
    </row>
    <row r="87" spans="1:7" x14ac:dyDescent="0.2">
      <c r="A87" s="384" t="s">
        <v>242</v>
      </c>
      <c r="B87" s="384"/>
      <c r="C87" s="384"/>
      <c r="D87" s="384"/>
      <c r="E87" s="384"/>
      <c r="F87" s="384"/>
      <c r="G87" s="384"/>
    </row>
    <row r="88" spans="1:7" x14ac:dyDescent="0.2">
      <c r="A88" s="384"/>
      <c r="B88" s="384"/>
      <c r="C88" s="384"/>
      <c r="D88" s="384"/>
      <c r="E88" s="384"/>
      <c r="F88" s="384"/>
      <c r="G88" s="384"/>
    </row>
    <row r="89" spans="1:7" x14ac:dyDescent="0.2">
      <c r="A89" s="384"/>
      <c r="B89" s="384"/>
      <c r="C89" s="384"/>
      <c r="D89" s="384"/>
      <c r="E89" s="384"/>
      <c r="F89" s="384"/>
      <c r="G89" s="384"/>
    </row>
    <row r="91" spans="1:7" x14ac:dyDescent="0.2">
      <c r="A91" s="384" t="s">
        <v>244</v>
      </c>
      <c r="B91" s="384"/>
      <c r="C91" s="384"/>
      <c r="D91" s="384"/>
      <c r="E91" s="384"/>
      <c r="F91" s="384"/>
      <c r="G91" s="384"/>
    </row>
    <row r="92" spans="1:7" x14ac:dyDescent="0.2">
      <c r="A92" s="384"/>
      <c r="B92" s="384"/>
      <c r="C92" s="384"/>
      <c r="D92" s="384"/>
      <c r="E92" s="384"/>
      <c r="F92" s="384"/>
      <c r="G92" s="384"/>
    </row>
    <row r="93" spans="1:7" x14ac:dyDescent="0.2">
      <c r="A93" s="384"/>
      <c r="B93" s="384"/>
      <c r="C93" s="384"/>
      <c r="D93" s="384"/>
      <c r="E93" s="384"/>
      <c r="F93" s="384"/>
      <c r="G93" s="384"/>
    </row>
    <row r="95" spans="1:7" x14ac:dyDescent="0.2">
      <c r="A95" s="384" t="s">
        <v>240</v>
      </c>
      <c r="B95" s="384"/>
      <c r="C95" s="384"/>
      <c r="D95" s="384"/>
      <c r="E95" s="384"/>
      <c r="F95" s="384"/>
      <c r="G95" s="384"/>
    </row>
    <row r="96" spans="1:7" x14ac:dyDescent="0.2">
      <c r="A96" s="384"/>
      <c r="B96" s="384"/>
      <c r="C96" s="384"/>
      <c r="D96" s="384"/>
      <c r="E96" s="384"/>
      <c r="F96" s="384"/>
      <c r="G96" s="384"/>
    </row>
    <row r="97" spans="1:7" x14ac:dyDescent="0.2">
      <c r="A97" s="384"/>
      <c r="B97" s="384"/>
      <c r="C97" s="384"/>
      <c r="D97" s="384"/>
      <c r="E97" s="384"/>
      <c r="F97" s="384"/>
      <c r="G97" s="384"/>
    </row>
    <row r="99" spans="1:7" x14ac:dyDescent="0.2">
      <c r="A99" s="384" t="s">
        <v>241</v>
      </c>
      <c r="B99" s="384"/>
      <c r="C99" s="384"/>
      <c r="D99" s="384"/>
      <c r="E99" s="384"/>
      <c r="F99" s="384"/>
      <c r="G99" s="384"/>
    </row>
    <row r="100" spans="1:7" x14ac:dyDescent="0.2">
      <c r="A100" s="384"/>
      <c r="B100" s="384"/>
      <c r="C100" s="384"/>
      <c r="D100" s="384"/>
      <c r="E100" s="384"/>
      <c r="F100" s="384"/>
      <c r="G100" s="384"/>
    </row>
  </sheetData>
  <sheetProtection password="C462" sheet="1" objects="1" scenarios="1"/>
  <mergeCells count="15">
    <mergeCell ref="A70:G72"/>
    <mergeCell ref="A11:A12"/>
    <mergeCell ref="A25:H26"/>
    <mergeCell ref="A50:G52"/>
    <mergeCell ref="A54:G57"/>
    <mergeCell ref="A59:G62"/>
    <mergeCell ref="A64:G65"/>
    <mergeCell ref="A67:G68"/>
    <mergeCell ref="A91:G93"/>
    <mergeCell ref="A95:G97"/>
    <mergeCell ref="A99:G100"/>
    <mergeCell ref="A74:G79"/>
    <mergeCell ref="A81:G82"/>
    <mergeCell ref="A84:G85"/>
    <mergeCell ref="A87:G89"/>
  </mergeCells>
  <pageMargins left="0.70866141732283472" right="0.70866141732283472" top="0.74803149606299213" bottom="0.74803149606299213" header="0.31496062992125984" footer="0.31496062992125984"/>
  <pageSetup paperSize="9" scale="61" fitToHeight="2" orientation="landscape" r:id="rId1"/>
  <rowBreaks count="1" manualBreakCount="1">
    <brk id="4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topLeftCell="A142" zoomScale="85" zoomScaleNormal="85" workbookViewId="0">
      <selection activeCell="B154" sqref="B154"/>
    </sheetView>
  </sheetViews>
  <sheetFormatPr defaultColWidth="9.140625" defaultRowHeight="12.75" x14ac:dyDescent="0.2"/>
  <cols>
    <col min="1" max="1" width="47.5703125" style="26" bestFit="1" customWidth="1"/>
    <col min="2" max="2" width="13.7109375" style="26" bestFit="1" customWidth="1"/>
    <col min="3" max="3" width="17.85546875" style="26" customWidth="1"/>
    <col min="4" max="4" width="10.85546875" style="26" customWidth="1"/>
    <col min="5" max="5" width="15.140625" style="26" customWidth="1"/>
    <col min="6" max="6" width="9.85546875" style="26" customWidth="1"/>
    <col min="7" max="7" width="9.42578125" style="26" customWidth="1"/>
    <col min="8" max="8" width="13.28515625" style="26" customWidth="1"/>
    <col min="9" max="9" width="2.28515625" style="26" customWidth="1"/>
    <col min="10" max="10" width="61.42578125" style="26" customWidth="1"/>
    <col min="11" max="16384" width="9.140625" style="26"/>
  </cols>
  <sheetData>
    <row r="1" spans="1:9" x14ac:dyDescent="0.2">
      <c r="A1" s="25" t="s">
        <v>59</v>
      </c>
      <c r="E1" s="27"/>
      <c r="F1" s="27"/>
      <c r="G1" s="27"/>
      <c r="H1" s="27"/>
      <c r="I1" s="27"/>
    </row>
    <row r="2" spans="1:9" x14ac:dyDescent="0.2">
      <c r="A2" s="25"/>
      <c r="E2" s="27"/>
      <c r="F2" s="27"/>
      <c r="G2" s="27"/>
      <c r="H2" s="27"/>
      <c r="I2" s="27"/>
    </row>
    <row r="3" spans="1:9" x14ac:dyDescent="0.2">
      <c r="A3" s="112" t="s">
        <v>105</v>
      </c>
      <c r="B3" s="112" t="s">
        <v>106</v>
      </c>
      <c r="C3" s="112" t="s">
        <v>107</v>
      </c>
      <c r="D3" s="112" t="s">
        <v>108</v>
      </c>
      <c r="E3" s="95" t="s">
        <v>109</v>
      </c>
      <c r="F3" s="95" t="s">
        <v>110</v>
      </c>
      <c r="G3" s="95" t="s">
        <v>111</v>
      </c>
      <c r="H3" s="95" t="s">
        <v>112</v>
      </c>
      <c r="I3" s="119"/>
    </row>
    <row r="4" spans="1:9" x14ac:dyDescent="0.2">
      <c r="A4" s="81" t="s">
        <v>113</v>
      </c>
      <c r="B4" s="81" t="s">
        <v>114</v>
      </c>
      <c r="C4" s="81">
        <v>32.5</v>
      </c>
      <c r="D4" s="81">
        <v>0.2</v>
      </c>
      <c r="E4" s="82">
        <f>(71701*0.2)</f>
        <v>14340.2</v>
      </c>
      <c r="F4" s="82">
        <f>(7664*0.2)</f>
        <v>1532.8000000000002</v>
      </c>
      <c r="G4" s="82">
        <f>(10110*0.2)</f>
        <v>2022</v>
      </c>
      <c r="H4" s="83">
        <f>SUM(E4:G4)</f>
        <v>17895</v>
      </c>
      <c r="I4" s="120"/>
    </row>
    <row r="5" spans="1:9" x14ac:dyDescent="0.2">
      <c r="A5" s="84" t="s">
        <v>115</v>
      </c>
      <c r="B5" s="85" t="s">
        <v>116</v>
      </c>
      <c r="C5" s="84">
        <v>32.5</v>
      </c>
      <c r="D5" s="84">
        <v>1</v>
      </c>
      <c r="E5" s="86">
        <v>41756</v>
      </c>
      <c r="F5" s="86">
        <v>3532</v>
      </c>
      <c r="G5" s="86">
        <v>5888</v>
      </c>
      <c r="H5" s="87">
        <f t="shared" ref="H5:H15" si="0">SUM(E5:G5)</f>
        <v>51176</v>
      </c>
      <c r="I5" s="119"/>
    </row>
    <row r="6" spans="1:9" x14ac:dyDescent="0.2">
      <c r="A6" s="88" t="s">
        <v>117</v>
      </c>
      <c r="B6" s="89" t="s">
        <v>118</v>
      </c>
      <c r="C6" s="90"/>
      <c r="D6" s="90"/>
      <c r="E6" s="91"/>
      <c r="F6" s="91"/>
      <c r="G6" s="86"/>
      <c r="H6" s="80">
        <f>(1110*1.2)</f>
        <v>1332</v>
      </c>
      <c r="I6" s="119"/>
    </row>
    <row r="7" spans="1:9" x14ac:dyDescent="0.2">
      <c r="A7" s="92" t="s">
        <v>119</v>
      </c>
      <c r="B7" s="93"/>
      <c r="C7" s="93"/>
      <c r="D7" s="93"/>
      <c r="E7" s="94">
        <f>SUM(E5:E6)</f>
        <v>41756</v>
      </c>
      <c r="F7" s="94">
        <f>SUM(F5:F6)</f>
        <v>3532</v>
      </c>
      <c r="G7" s="94">
        <f>SUM(G5:G6)</f>
        <v>5888</v>
      </c>
      <c r="H7" s="95">
        <f>SUM(H4:H6)</f>
        <v>70403</v>
      </c>
      <c r="I7" s="119"/>
    </row>
    <row r="8" spans="1:9" x14ac:dyDescent="0.2">
      <c r="A8" s="85" t="s">
        <v>120</v>
      </c>
      <c r="B8" s="96"/>
      <c r="C8" s="96"/>
      <c r="D8" s="96"/>
      <c r="E8" s="97"/>
      <c r="F8" s="97"/>
      <c r="G8" s="97"/>
      <c r="H8" s="87">
        <v>35000</v>
      </c>
      <c r="I8" s="119"/>
    </row>
    <row r="9" spans="1:9" x14ac:dyDescent="0.2">
      <c r="A9" s="84" t="s">
        <v>121</v>
      </c>
      <c r="B9" s="85" t="s">
        <v>122</v>
      </c>
      <c r="C9" s="84">
        <v>37</v>
      </c>
      <c r="D9" s="84">
        <v>0.84699999999999998</v>
      </c>
      <c r="E9" s="86">
        <v>26278</v>
      </c>
      <c r="F9" s="86">
        <v>1864</v>
      </c>
      <c r="G9" s="86">
        <v>4967</v>
      </c>
      <c r="H9" s="87">
        <f t="shared" si="0"/>
        <v>33109</v>
      </c>
      <c r="I9" s="119"/>
    </row>
    <row r="10" spans="1:9" x14ac:dyDescent="0.2">
      <c r="A10" s="84" t="s">
        <v>123</v>
      </c>
      <c r="B10" s="85" t="s">
        <v>124</v>
      </c>
      <c r="C10" s="84">
        <v>37</v>
      </c>
      <c r="D10" s="84">
        <v>0.84699999999999998</v>
      </c>
      <c r="E10" s="86">
        <v>19041</v>
      </c>
      <c r="F10" s="86">
        <v>1111</v>
      </c>
      <c r="G10" s="86">
        <v>3599</v>
      </c>
      <c r="H10" s="87">
        <f t="shared" si="0"/>
        <v>23751</v>
      </c>
      <c r="I10" s="119"/>
    </row>
    <row r="11" spans="1:9" x14ac:dyDescent="0.2">
      <c r="A11" s="84" t="s">
        <v>125</v>
      </c>
      <c r="B11" s="85" t="s">
        <v>126</v>
      </c>
      <c r="C11" s="84">
        <v>37</v>
      </c>
      <c r="D11" s="84">
        <v>0.84699999999999998</v>
      </c>
      <c r="E11" s="86">
        <v>23601</v>
      </c>
      <c r="F11" s="86">
        <v>1585</v>
      </c>
      <c r="G11" s="86">
        <v>4461</v>
      </c>
      <c r="H11" s="87">
        <f t="shared" si="0"/>
        <v>29647</v>
      </c>
      <c r="I11" s="119"/>
    </row>
    <row r="12" spans="1:9" x14ac:dyDescent="0.2">
      <c r="A12" s="84" t="s">
        <v>127</v>
      </c>
      <c r="B12" s="85" t="s">
        <v>128</v>
      </c>
      <c r="C12" s="84">
        <v>37</v>
      </c>
      <c r="D12" s="84">
        <v>0.84699999999999998</v>
      </c>
      <c r="E12" s="86">
        <v>17159</v>
      </c>
      <c r="F12" s="86">
        <v>915</v>
      </c>
      <c r="G12" s="86">
        <v>3243</v>
      </c>
      <c r="H12" s="87">
        <f t="shared" si="0"/>
        <v>21317</v>
      </c>
      <c r="I12" s="119"/>
    </row>
    <row r="13" spans="1:9" x14ac:dyDescent="0.2">
      <c r="A13" s="84" t="s">
        <v>129</v>
      </c>
      <c r="B13" s="85" t="s">
        <v>130</v>
      </c>
      <c r="C13" s="84">
        <v>32.5</v>
      </c>
      <c r="D13" s="98">
        <v>0.84699999999999998</v>
      </c>
      <c r="E13" s="99">
        <v>16225</v>
      </c>
      <c r="F13" s="99">
        <v>818</v>
      </c>
      <c r="G13" s="99">
        <v>3067</v>
      </c>
      <c r="H13" s="87">
        <f t="shared" si="0"/>
        <v>20110</v>
      </c>
      <c r="I13" s="119"/>
    </row>
    <row r="14" spans="1:9" x14ac:dyDescent="0.2">
      <c r="A14" s="84" t="s">
        <v>129</v>
      </c>
      <c r="B14" s="85" t="s">
        <v>130</v>
      </c>
      <c r="C14" s="84">
        <v>32.5</v>
      </c>
      <c r="D14" s="98">
        <v>0.84699999999999998</v>
      </c>
      <c r="E14" s="99">
        <v>16225</v>
      </c>
      <c r="F14" s="99">
        <v>818</v>
      </c>
      <c r="G14" s="99">
        <v>3067</v>
      </c>
      <c r="H14" s="87">
        <f t="shared" si="0"/>
        <v>20110</v>
      </c>
      <c r="I14" s="119"/>
    </row>
    <row r="15" spans="1:9" x14ac:dyDescent="0.2">
      <c r="A15" s="84" t="s">
        <v>131</v>
      </c>
      <c r="B15" s="85" t="s">
        <v>132</v>
      </c>
      <c r="C15" s="84">
        <v>37</v>
      </c>
      <c r="D15" s="84">
        <v>0.84699999999999998</v>
      </c>
      <c r="E15" s="86">
        <v>21073</v>
      </c>
      <c r="F15" s="86">
        <v>1322</v>
      </c>
      <c r="G15" s="86">
        <v>3983</v>
      </c>
      <c r="H15" s="87">
        <f t="shared" si="0"/>
        <v>26378</v>
      </c>
      <c r="I15" s="119"/>
    </row>
    <row r="16" spans="1:9" x14ac:dyDescent="0.2">
      <c r="A16" s="100" t="s">
        <v>133</v>
      </c>
      <c r="B16" s="101" t="s">
        <v>134</v>
      </c>
      <c r="C16" s="102"/>
      <c r="D16" s="102"/>
      <c r="E16" s="103"/>
      <c r="F16" s="103"/>
      <c r="G16" s="103"/>
      <c r="H16" s="104">
        <v>830</v>
      </c>
      <c r="I16" s="119"/>
    </row>
    <row r="17" spans="1:10" x14ac:dyDescent="0.2">
      <c r="A17" s="105" t="s">
        <v>135</v>
      </c>
      <c r="B17" s="106" t="s">
        <v>136</v>
      </c>
      <c r="C17" s="107"/>
      <c r="D17" s="107"/>
      <c r="E17" s="108"/>
      <c r="F17" s="108"/>
      <c r="G17" s="108"/>
      <c r="H17" s="109">
        <v>2075</v>
      </c>
      <c r="I17" s="119"/>
    </row>
    <row r="18" spans="1:10" x14ac:dyDescent="0.2">
      <c r="A18" s="78" t="s">
        <v>137</v>
      </c>
      <c r="B18" s="110"/>
      <c r="C18" s="110"/>
      <c r="D18" s="110"/>
      <c r="E18" s="79">
        <f>SUM(E9:E17)</f>
        <v>139602</v>
      </c>
      <c r="F18" s="79">
        <f>SUM(F9:F17)</f>
        <v>8433</v>
      </c>
      <c r="G18" s="79">
        <f>SUM(G9:G17)</f>
        <v>26387</v>
      </c>
      <c r="H18" s="95">
        <f>SUM(H8:H17)</f>
        <v>212327</v>
      </c>
      <c r="I18" s="119"/>
    </row>
    <row r="20" spans="1:10" x14ac:dyDescent="0.2">
      <c r="H20" s="111">
        <f>H7+H18</f>
        <v>282730</v>
      </c>
      <c r="I20" s="111"/>
    </row>
    <row r="21" spans="1:10" x14ac:dyDescent="0.2">
      <c r="A21" s="25"/>
      <c r="E21" s="27"/>
      <c r="F21" s="27"/>
      <c r="G21" s="27"/>
      <c r="H21" s="37"/>
      <c r="I21" s="37"/>
    </row>
    <row r="22" spans="1:10" x14ac:dyDescent="0.2">
      <c r="A22" s="25" t="s">
        <v>138</v>
      </c>
      <c r="E22" s="27"/>
      <c r="F22" s="27"/>
      <c r="G22" s="27"/>
      <c r="H22" s="111">
        <v>24800</v>
      </c>
      <c r="I22" s="111"/>
    </row>
    <row r="23" spans="1:10" ht="13.5" thickBot="1" x14ac:dyDescent="0.25">
      <c r="A23" s="25"/>
      <c r="E23" s="27"/>
      <c r="F23" s="27"/>
      <c r="G23" s="27"/>
      <c r="H23" s="27"/>
      <c r="I23" s="27"/>
    </row>
    <row r="24" spans="1:10" ht="13.5" thickBot="1" x14ac:dyDescent="0.25">
      <c r="B24" s="30"/>
      <c r="C24" s="27"/>
      <c r="D24" s="27"/>
      <c r="E24" s="27"/>
      <c r="H24" s="31">
        <f>H20+H22</f>
        <v>307530</v>
      </c>
      <c r="I24" s="121"/>
      <c r="J24" s="26" t="s">
        <v>60</v>
      </c>
    </row>
    <row r="25" spans="1:10" x14ac:dyDescent="0.2">
      <c r="A25" s="41" t="s">
        <v>88</v>
      </c>
      <c r="H25" s="32"/>
      <c r="I25" s="32"/>
    </row>
    <row r="26" spans="1:10" x14ac:dyDescent="0.2">
      <c r="C26" s="42" t="s">
        <v>73</v>
      </c>
      <c r="H26" s="28"/>
      <c r="I26" s="28"/>
    </row>
    <row r="27" spans="1:10" x14ac:dyDescent="0.2">
      <c r="A27" s="41" t="s">
        <v>77</v>
      </c>
      <c r="C27" s="7">
        <v>100</v>
      </c>
      <c r="D27" s="34"/>
      <c r="E27" s="13">
        <v>8000</v>
      </c>
      <c r="F27" s="41" t="s">
        <v>74</v>
      </c>
      <c r="H27" s="35">
        <f>C27*E27</f>
        <v>800000</v>
      </c>
      <c r="I27" s="35"/>
      <c r="J27" s="26" t="s">
        <v>61</v>
      </c>
    </row>
    <row r="28" spans="1:10" x14ac:dyDescent="0.2">
      <c r="H28" s="37">
        <f>H24</f>
        <v>307530</v>
      </c>
      <c r="I28" s="37"/>
      <c r="J28" s="26" t="s">
        <v>60</v>
      </c>
    </row>
    <row r="29" spans="1:10" x14ac:dyDescent="0.2">
      <c r="H29" s="38">
        <f>SUM(H27:H28)</f>
        <v>1107530</v>
      </c>
      <c r="I29" s="122"/>
      <c r="J29" s="26" t="s">
        <v>63</v>
      </c>
    </row>
    <row r="30" spans="1:10" x14ac:dyDescent="0.2">
      <c r="H30" s="37">
        <f>H29/C27</f>
        <v>11075.3</v>
      </c>
      <c r="I30" s="37"/>
      <c r="J30" s="41" t="s">
        <v>76</v>
      </c>
    </row>
    <row r="31" spans="1:10" x14ac:dyDescent="0.2">
      <c r="H31" s="37"/>
      <c r="I31" s="37"/>
    </row>
    <row r="32" spans="1:10" x14ac:dyDescent="0.2">
      <c r="C32" s="33" t="s">
        <v>75</v>
      </c>
      <c r="H32" s="37"/>
      <c r="I32" s="37"/>
    </row>
    <row r="33" spans="1:10" x14ac:dyDescent="0.2">
      <c r="C33" s="39">
        <v>100</v>
      </c>
      <c r="F33" s="41" t="s">
        <v>78</v>
      </c>
      <c r="H33" s="37">
        <v>8000</v>
      </c>
      <c r="I33" s="37"/>
    </row>
    <row r="34" spans="1:10" x14ac:dyDescent="0.2">
      <c r="C34" s="39">
        <v>100</v>
      </c>
      <c r="F34" s="26" t="s">
        <v>64</v>
      </c>
      <c r="H34" s="37">
        <f>H30-H33</f>
        <v>3075.2999999999993</v>
      </c>
      <c r="I34" s="37"/>
    </row>
    <row r="35" spans="1:10" x14ac:dyDescent="0.2">
      <c r="C35" s="39"/>
      <c r="H35" s="37"/>
      <c r="I35" s="37"/>
    </row>
    <row r="36" spans="1:10" x14ac:dyDescent="0.2">
      <c r="H36" s="37"/>
      <c r="I36" s="37"/>
    </row>
    <row r="37" spans="1:10" x14ac:dyDescent="0.2">
      <c r="A37" s="26" t="s">
        <v>65</v>
      </c>
      <c r="C37" s="39">
        <f>218-C27</f>
        <v>118</v>
      </c>
      <c r="E37" s="13">
        <v>8000</v>
      </c>
      <c r="F37" s="41" t="s">
        <v>74</v>
      </c>
      <c r="H37" s="37">
        <f>C37*E37</f>
        <v>944000</v>
      </c>
      <c r="I37" s="37"/>
    </row>
    <row r="38" spans="1:10" x14ac:dyDescent="0.2">
      <c r="C38" s="39">
        <v>118</v>
      </c>
      <c r="E38" s="13">
        <v>0</v>
      </c>
      <c r="F38" s="26" t="s">
        <v>64</v>
      </c>
      <c r="H38" s="37">
        <f>C38*E38</f>
        <v>0</v>
      </c>
      <c r="I38" s="37"/>
    </row>
    <row r="40" spans="1:10" x14ac:dyDescent="0.2">
      <c r="E40" s="26" t="s">
        <v>66</v>
      </c>
      <c r="H40" s="40">
        <f>(H33*C33)+(H34*C34)+(E37*C37)</f>
        <v>2051530</v>
      </c>
      <c r="I40" s="40"/>
    </row>
    <row r="41" spans="1:10" x14ac:dyDescent="0.2">
      <c r="E41" s="26" t="s">
        <v>67</v>
      </c>
      <c r="H41" s="37">
        <f>(H33*(C33+C37))</f>
        <v>1744000</v>
      </c>
      <c r="I41" s="37"/>
    </row>
    <row r="42" spans="1:10" x14ac:dyDescent="0.2">
      <c r="E42" s="26" t="s">
        <v>68</v>
      </c>
      <c r="H42" s="37">
        <f>C34*H34</f>
        <v>307529.99999999994</v>
      </c>
      <c r="I42" s="37"/>
    </row>
    <row r="43" spans="1:10" x14ac:dyDescent="0.2">
      <c r="H43" s="38">
        <f>SUM(H41:H42)</f>
        <v>2051530</v>
      </c>
      <c r="I43" s="122"/>
    </row>
    <row r="45" spans="1:10" x14ac:dyDescent="0.2">
      <c r="B45" s="26" t="s">
        <v>69</v>
      </c>
      <c r="G45" s="37">
        <f>8000/195</f>
        <v>41.025641025641029</v>
      </c>
    </row>
    <row r="46" spans="1:10" x14ac:dyDescent="0.2">
      <c r="B46" s="26" t="s">
        <v>70</v>
      </c>
      <c r="G46" s="29">
        <v>2040</v>
      </c>
      <c r="H46" s="37">
        <f>G45*G46</f>
        <v>83692.307692307702</v>
      </c>
      <c r="I46" s="37"/>
      <c r="J46" s="41" t="s">
        <v>79</v>
      </c>
    </row>
    <row r="48" spans="1:10" x14ac:dyDescent="0.2">
      <c r="E48" s="26" t="s">
        <v>71</v>
      </c>
      <c r="H48" s="40">
        <f>H43+H46</f>
        <v>2135222.3076923075</v>
      </c>
      <c r="I48" s="40"/>
    </row>
    <row r="50" spans="5:10" x14ac:dyDescent="0.2">
      <c r="H50" s="35">
        <v>2382067</v>
      </c>
      <c r="I50" s="35"/>
      <c r="J50" s="26" t="s">
        <v>62</v>
      </c>
    </row>
    <row r="51" spans="5:10" x14ac:dyDescent="0.2">
      <c r="H51" s="28"/>
      <c r="I51" s="28"/>
    </row>
    <row r="52" spans="5:10" ht="12.75" customHeight="1" x14ac:dyDescent="0.2">
      <c r="H52" s="35">
        <f>H48-H50</f>
        <v>-246844.69230769249</v>
      </c>
      <c r="I52" s="35"/>
      <c r="J52" s="392" t="s">
        <v>72</v>
      </c>
    </row>
    <row r="53" spans="5:10" x14ac:dyDescent="0.2">
      <c r="J53" s="392"/>
    </row>
    <row r="54" spans="5:10" x14ac:dyDescent="0.2">
      <c r="J54" s="392"/>
    </row>
    <row r="55" spans="5:10" x14ac:dyDescent="0.2">
      <c r="J55" s="392"/>
    </row>
    <row r="56" spans="5:10" x14ac:dyDescent="0.2">
      <c r="J56" s="36"/>
    </row>
    <row r="57" spans="5:10" x14ac:dyDescent="0.2">
      <c r="E57" s="33" t="s">
        <v>80</v>
      </c>
      <c r="J57" s="41" t="s">
        <v>81</v>
      </c>
    </row>
    <row r="58" spans="5:10" x14ac:dyDescent="0.2">
      <c r="E58" s="41" t="s">
        <v>83</v>
      </c>
      <c r="H58" s="37">
        <v>164119</v>
      </c>
      <c r="I58" s="37"/>
      <c r="J58" s="41"/>
    </row>
    <row r="59" spans="5:10" x14ac:dyDescent="0.2">
      <c r="E59" s="41" t="s">
        <v>84</v>
      </c>
      <c r="H59" s="37">
        <v>1200</v>
      </c>
      <c r="I59" s="37"/>
      <c r="J59" s="41"/>
    </row>
    <row r="60" spans="5:10" x14ac:dyDescent="0.2">
      <c r="E60" s="41" t="s">
        <v>85</v>
      </c>
      <c r="H60" s="37">
        <v>5400</v>
      </c>
      <c r="I60" s="37"/>
      <c r="J60" s="41"/>
    </row>
    <row r="61" spans="5:10" x14ac:dyDescent="0.2">
      <c r="E61" s="41" t="s">
        <v>86</v>
      </c>
      <c r="H61" s="37">
        <v>300</v>
      </c>
      <c r="I61" s="37"/>
    </row>
    <row r="62" spans="5:10" x14ac:dyDescent="0.2">
      <c r="E62" s="41"/>
      <c r="H62" s="38">
        <f>SUM(H58:H61)</f>
        <v>171019</v>
      </c>
      <c r="I62" s="122"/>
    </row>
    <row r="63" spans="5:10" x14ac:dyDescent="0.2">
      <c r="E63" s="41"/>
    </row>
    <row r="64" spans="5:10" x14ac:dyDescent="0.2">
      <c r="H64" s="37">
        <f>H52+H62</f>
        <v>-75825.692307692487</v>
      </c>
      <c r="I64" s="37"/>
      <c r="J64" s="41" t="s">
        <v>87</v>
      </c>
    </row>
    <row r="66" spans="1:15" x14ac:dyDescent="0.2">
      <c r="H66" s="37">
        <v>80000</v>
      </c>
      <c r="I66" s="37"/>
      <c r="J66" s="41" t="s">
        <v>82</v>
      </c>
    </row>
    <row r="67" spans="1:15" x14ac:dyDescent="0.2">
      <c r="H67" s="37"/>
      <c r="I67" s="37"/>
      <c r="J67" s="41"/>
    </row>
    <row r="68" spans="1:15" x14ac:dyDescent="0.2">
      <c r="H68" s="37">
        <f>H66+H64</f>
        <v>4174.3076923075132</v>
      </c>
      <c r="I68" s="37"/>
      <c r="J68" s="41" t="s">
        <v>100</v>
      </c>
    </row>
    <row r="69" spans="1:15" ht="13.5" thickBot="1" x14ac:dyDescent="0.25">
      <c r="A69" s="43"/>
      <c r="B69" s="43"/>
      <c r="C69" s="43"/>
      <c r="D69" s="43"/>
      <c r="E69" s="43"/>
      <c r="F69" s="43"/>
      <c r="G69" s="43"/>
      <c r="H69" s="43"/>
      <c r="I69" s="43"/>
      <c r="J69" s="43"/>
    </row>
    <row r="71" spans="1:15" x14ac:dyDescent="0.2">
      <c r="A71" s="41" t="s">
        <v>0</v>
      </c>
    </row>
    <row r="72" spans="1:15" ht="12.75" customHeight="1" x14ac:dyDescent="0.2">
      <c r="J72" s="393" t="s">
        <v>150</v>
      </c>
    </row>
    <row r="73" spans="1:15" x14ac:dyDescent="0.2">
      <c r="C73" s="42" t="s">
        <v>73</v>
      </c>
      <c r="H73" s="28"/>
      <c r="I73" s="28"/>
      <c r="J73" s="393"/>
    </row>
    <row r="74" spans="1:15" x14ac:dyDescent="0.2">
      <c r="A74" s="41" t="s">
        <v>77</v>
      </c>
      <c r="C74" s="7">
        <v>100</v>
      </c>
      <c r="D74" s="34"/>
      <c r="E74" s="13">
        <v>8000</v>
      </c>
      <c r="F74" s="41" t="s">
        <v>74</v>
      </c>
      <c r="H74" s="35">
        <f>C74*E74</f>
        <v>800000</v>
      </c>
      <c r="I74" s="35"/>
      <c r="J74" s="393"/>
    </row>
    <row r="75" spans="1:15" ht="12.75" customHeight="1" x14ac:dyDescent="0.2">
      <c r="H75" s="37">
        <f>H24</f>
        <v>307530</v>
      </c>
      <c r="I75" s="37"/>
      <c r="J75" s="393"/>
      <c r="K75" s="117"/>
      <c r="L75" s="117"/>
      <c r="M75" s="117"/>
      <c r="N75" s="117"/>
      <c r="O75" s="117"/>
    </row>
    <row r="76" spans="1:15" ht="12.75" customHeight="1" x14ac:dyDescent="0.2">
      <c r="H76" s="37">
        <f>((8775-7800)*218)*26/38</f>
        <v>145428.94736842104</v>
      </c>
      <c r="I76" s="37"/>
      <c r="J76" s="393"/>
      <c r="K76" s="117"/>
      <c r="L76" s="117"/>
      <c r="M76" s="117"/>
      <c r="N76" s="117"/>
      <c r="O76" s="117"/>
    </row>
    <row r="77" spans="1:15" x14ac:dyDescent="0.2">
      <c r="H77" s="38">
        <f>SUM(H74:H76)</f>
        <v>1252958.9473684211</v>
      </c>
      <c r="I77" s="122"/>
      <c r="J77" s="393"/>
      <c r="K77" s="117"/>
      <c r="L77" s="117"/>
      <c r="M77" s="117"/>
      <c r="N77" s="117"/>
      <c r="O77" s="117"/>
    </row>
    <row r="78" spans="1:15" x14ac:dyDescent="0.2">
      <c r="H78" s="123">
        <f>H77/C74</f>
        <v>12529.589473684211</v>
      </c>
      <c r="I78" s="37"/>
      <c r="J78" s="393"/>
      <c r="K78" s="118"/>
      <c r="L78" s="118"/>
      <c r="M78" s="118"/>
      <c r="N78" s="118"/>
      <c r="O78" s="118"/>
    </row>
    <row r="79" spans="1:15" x14ac:dyDescent="0.2">
      <c r="H79" s="37"/>
      <c r="I79" s="37"/>
      <c r="J79" s="393"/>
    </row>
    <row r="80" spans="1:15" x14ac:dyDescent="0.2">
      <c r="C80" s="33" t="s">
        <v>75</v>
      </c>
      <c r="H80" s="37"/>
      <c r="I80" s="37"/>
    </row>
    <row r="81" spans="1:9" x14ac:dyDescent="0.2">
      <c r="C81" s="39">
        <v>100</v>
      </c>
      <c r="F81" s="41" t="s">
        <v>78</v>
      </c>
      <c r="H81" s="37">
        <v>8000</v>
      </c>
      <c r="I81" s="37"/>
    </row>
    <row r="82" spans="1:9" x14ac:dyDescent="0.2">
      <c r="C82" s="39">
        <v>100</v>
      </c>
      <c r="F82" s="26" t="s">
        <v>64</v>
      </c>
      <c r="H82" s="37">
        <f>H78-H81</f>
        <v>4529.589473684211</v>
      </c>
      <c r="I82" s="37"/>
    </row>
    <row r="83" spans="1:9" x14ac:dyDescent="0.2">
      <c r="C83" s="39"/>
      <c r="H83" s="37"/>
      <c r="I83" s="37"/>
    </row>
    <row r="84" spans="1:9" x14ac:dyDescent="0.2">
      <c r="H84" s="37"/>
      <c r="I84" s="37"/>
    </row>
    <row r="85" spans="1:9" x14ac:dyDescent="0.2">
      <c r="A85" s="26" t="s">
        <v>65</v>
      </c>
      <c r="C85" s="39">
        <f>218-C74</f>
        <v>118</v>
      </c>
      <c r="E85" s="13">
        <v>8000</v>
      </c>
      <c r="F85" s="41" t="s">
        <v>74</v>
      </c>
      <c r="H85" s="37">
        <f>C85*E85</f>
        <v>944000</v>
      </c>
      <c r="I85" s="37"/>
    </row>
    <row r="86" spans="1:9" x14ac:dyDescent="0.2">
      <c r="C86" s="39">
        <v>118</v>
      </c>
      <c r="E86" s="13">
        <v>0</v>
      </c>
      <c r="F86" s="26" t="s">
        <v>64</v>
      </c>
      <c r="H86" s="37">
        <f>C86*E86</f>
        <v>0</v>
      </c>
      <c r="I86" s="37"/>
    </row>
    <row r="88" spans="1:9" x14ac:dyDescent="0.2">
      <c r="E88" s="26" t="s">
        <v>66</v>
      </c>
      <c r="H88" s="37">
        <f>(H81*C81)+(H82*C82)+(E85*C85)</f>
        <v>2196958.9473684211</v>
      </c>
      <c r="I88" s="40"/>
    </row>
    <row r="89" spans="1:9" x14ac:dyDescent="0.2">
      <c r="E89" s="26" t="s">
        <v>67</v>
      </c>
      <c r="H89" s="37">
        <f>(H81*(C81+C85))</f>
        <v>1744000</v>
      </c>
      <c r="I89" s="37"/>
    </row>
    <row r="90" spans="1:9" x14ac:dyDescent="0.2">
      <c r="E90" s="26" t="s">
        <v>68</v>
      </c>
      <c r="H90" s="37">
        <f>C82*H82</f>
        <v>452958.94736842113</v>
      </c>
      <c r="I90" s="37"/>
    </row>
    <row r="91" spans="1:9" x14ac:dyDescent="0.2">
      <c r="H91" s="38">
        <f>SUM(H89:H90)</f>
        <v>2196958.9473684211</v>
      </c>
      <c r="I91" s="122"/>
    </row>
    <row r="93" spans="1:9" x14ac:dyDescent="0.2">
      <c r="A93" s="41" t="s">
        <v>89</v>
      </c>
      <c r="B93" s="44">
        <f>(45*195)+200</f>
        <v>8975</v>
      </c>
      <c r="C93" s="114"/>
    </row>
    <row r="94" spans="1:9" x14ac:dyDescent="0.2">
      <c r="H94" s="40"/>
    </row>
    <row r="98" spans="1:8" x14ac:dyDescent="0.2">
      <c r="A98" s="124"/>
      <c r="B98" s="124"/>
      <c r="C98" s="124"/>
      <c r="D98" s="124"/>
      <c r="E98" s="124"/>
      <c r="F98" s="124"/>
      <c r="G98" s="124"/>
      <c r="H98" s="124"/>
    </row>
    <row r="100" spans="1:8" x14ac:dyDescent="0.2">
      <c r="A100" s="41" t="s">
        <v>56</v>
      </c>
    </row>
    <row r="102" spans="1:8" x14ac:dyDescent="0.2">
      <c r="C102" s="42" t="s">
        <v>73</v>
      </c>
      <c r="H102" s="28"/>
    </row>
    <row r="103" spans="1:8" x14ac:dyDescent="0.2">
      <c r="A103" s="41" t="s">
        <v>77</v>
      </c>
      <c r="C103" s="7">
        <v>100</v>
      </c>
      <c r="D103" s="34"/>
      <c r="E103" s="13">
        <v>8000</v>
      </c>
      <c r="F103" s="41" t="s">
        <v>74</v>
      </c>
      <c r="H103" s="35">
        <f>C103*E103</f>
        <v>800000</v>
      </c>
    </row>
    <row r="104" spans="1:8" x14ac:dyDescent="0.2">
      <c r="H104" s="37">
        <f>H24</f>
        <v>307530</v>
      </c>
    </row>
    <row r="105" spans="1:8" x14ac:dyDescent="0.2">
      <c r="H105" s="37">
        <f>((8775-7800)*218)</f>
        <v>212550</v>
      </c>
    </row>
    <row r="106" spans="1:8" x14ac:dyDescent="0.2">
      <c r="H106" s="38">
        <f>SUM(H103:H105)</f>
        <v>1320080</v>
      </c>
    </row>
    <row r="107" spans="1:8" x14ac:dyDescent="0.2">
      <c r="H107" s="123">
        <f>H106/C103</f>
        <v>13200.8</v>
      </c>
    </row>
    <row r="108" spans="1:8" x14ac:dyDescent="0.2">
      <c r="H108" s="37"/>
    </row>
    <row r="109" spans="1:8" x14ac:dyDescent="0.2">
      <c r="C109" s="33" t="s">
        <v>75</v>
      </c>
      <c r="H109" s="37"/>
    </row>
    <row r="110" spans="1:8" x14ac:dyDescent="0.2">
      <c r="C110" s="39">
        <v>100</v>
      </c>
      <c r="F110" s="41" t="s">
        <v>78</v>
      </c>
      <c r="H110" s="37">
        <v>8000</v>
      </c>
    </row>
    <row r="111" spans="1:8" x14ac:dyDescent="0.2">
      <c r="C111" s="39">
        <v>100</v>
      </c>
      <c r="F111" s="26" t="s">
        <v>64</v>
      </c>
      <c r="H111" s="37">
        <f>H107-H110</f>
        <v>5200.7999999999993</v>
      </c>
    </row>
    <row r="112" spans="1:8" x14ac:dyDescent="0.2">
      <c r="C112" s="39"/>
      <c r="H112" s="37"/>
    </row>
    <row r="113" spans="1:8" x14ac:dyDescent="0.2">
      <c r="H113" s="37"/>
    </row>
    <row r="114" spans="1:8" x14ac:dyDescent="0.2">
      <c r="A114" s="26" t="s">
        <v>65</v>
      </c>
      <c r="C114" s="39">
        <f>218-C103</f>
        <v>118</v>
      </c>
      <c r="E114" s="13">
        <v>8000</v>
      </c>
      <c r="F114" s="41" t="s">
        <v>74</v>
      </c>
      <c r="H114" s="37">
        <f>C114*E114</f>
        <v>944000</v>
      </c>
    </row>
    <row r="115" spans="1:8" x14ac:dyDescent="0.2">
      <c r="C115" s="39">
        <v>118</v>
      </c>
      <c r="E115" s="13">
        <v>0</v>
      </c>
      <c r="F115" s="26" t="s">
        <v>64</v>
      </c>
      <c r="H115" s="37">
        <f>C115*E115</f>
        <v>0</v>
      </c>
    </row>
    <row r="117" spans="1:8" x14ac:dyDescent="0.2">
      <c r="E117" s="26" t="s">
        <v>66</v>
      </c>
      <c r="H117" s="37">
        <f>(H110*C110)+(H111*C111)+(E114*C114)</f>
        <v>2264080</v>
      </c>
    </row>
    <row r="118" spans="1:8" x14ac:dyDescent="0.2">
      <c r="E118" s="26" t="s">
        <v>67</v>
      </c>
      <c r="H118" s="37">
        <f>(H110*(C110+C114))</f>
        <v>1744000</v>
      </c>
    </row>
    <row r="119" spans="1:8" x14ac:dyDescent="0.2">
      <c r="E119" s="26" t="s">
        <v>68</v>
      </c>
      <c r="H119" s="37">
        <f>C111*H111</f>
        <v>520079.99999999994</v>
      </c>
    </row>
    <row r="120" spans="1:8" x14ac:dyDescent="0.2">
      <c r="H120" s="38">
        <f>SUM(H118:H119)</f>
        <v>2264080</v>
      </c>
    </row>
    <row r="122" spans="1:8" x14ac:dyDescent="0.2">
      <c r="A122" s="41" t="s">
        <v>89</v>
      </c>
      <c r="B122" s="44">
        <f>(45*195)+200</f>
        <v>8975</v>
      </c>
      <c r="C122" s="114"/>
    </row>
    <row r="123" spans="1:8" x14ac:dyDescent="0.2">
      <c r="H123" s="40"/>
    </row>
    <row r="124" spans="1:8" x14ac:dyDescent="0.2">
      <c r="A124" s="124"/>
      <c r="B124" s="124"/>
      <c r="C124" s="124"/>
      <c r="D124" s="124"/>
      <c r="E124" s="124"/>
      <c r="F124" s="124"/>
      <c r="G124" s="124"/>
      <c r="H124" s="124"/>
    </row>
    <row r="126" spans="1:8" x14ac:dyDescent="0.2">
      <c r="A126" s="41" t="s">
        <v>210</v>
      </c>
      <c r="C126" s="111">
        <f>'Sol4 Budget 201516'!B11</f>
        <v>2268004</v>
      </c>
    </row>
    <row r="128" spans="1:8" x14ac:dyDescent="0.2">
      <c r="A128"/>
      <c r="B128" s="7" t="s">
        <v>161</v>
      </c>
      <c r="C128"/>
      <c r="D128" s="7"/>
      <c r="H128" s="28"/>
    </row>
    <row r="129" spans="1:10" x14ac:dyDescent="0.2">
      <c r="A129" t="str">
        <f>'Summary 201516'!A31</f>
        <v>Place Funding: April 15 - August 15</v>
      </c>
      <c r="B129" s="13">
        <v>8000</v>
      </c>
      <c r="C129" s="13" t="s">
        <v>209</v>
      </c>
      <c r="D129" s="13"/>
      <c r="E129" s="13"/>
      <c r="F129" s="41"/>
      <c r="H129" s="35"/>
    </row>
    <row r="130" spans="1:10" x14ac:dyDescent="0.2">
      <c r="A130" t="str">
        <f>'Summary 201516'!A32</f>
        <v>Place Funding: September 15 - March 16</v>
      </c>
      <c r="B130" s="13">
        <v>10000</v>
      </c>
      <c r="C130" s="13" t="s">
        <v>209</v>
      </c>
      <c r="D130" s="13"/>
      <c r="E130" s="13"/>
      <c r="F130" s="41"/>
      <c r="H130" s="196"/>
      <c r="I130" s="96"/>
      <c r="J130" s="96"/>
    </row>
    <row r="131" spans="1:10" x14ac:dyDescent="0.2">
      <c r="A131"/>
      <c r="B131" s="13"/>
      <c r="C131" s="13"/>
      <c r="D131" s="13"/>
      <c r="E131" s="13"/>
      <c r="F131" s="41"/>
      <c r="H131" s="196"/>
      <c r="I131" s="96"/>
      <c r="J131" s="96"/>
    </row>
    <row r="132" spans="1:10" x14ac:dyDescent="0.2">
      <c r="A132"/>
      <c r="B132" s="7" t="s">
        <v>73</v>
      </c>
      <c r="C132" s="7" t="s">
        <v>193</v>
      </c>
      <c r="E132" s="7" t="s">
        <v>164</v>
      </c>
      <c r="F132" s="41"/>
      <c r="H132" s="196"/>
      <c r="I132" s="96"/>
      <c r="J132" s="96"/>
    </row>
    <row r="133" spans="1:10" x14ac:dyDescent="0.2">
      <c r="A133" t="str">
        <f>A129</f>
        <v>Place Funding: April 15 - August 15</v>
      </c>
      <c r="B133" s="7">
        <v>218</v>
      </c>
      <c r="C133" s="13">
        <f>B129*(5/12)</f>
        <v>3333.3333333333335</v>
      </c>
      <c r="E133" s="13">
        <f>B133*C133</f>
        <v>726666.66666666674</v>
      </c>
      <c r="H133" s="122"/>
      <c r="I133" s="96"/>
      <c r="J133" s="96"/>
    </row>
    <row r="134" spans="1:10" x14ac:dyDescent="0.2">
      <c r="A134" t="str">
        <f>A130</f>
        <v>Place Funding: September 15 - March 16</v>
      </c>
      <c r="B134" s="7">
        <v>218</v>
      </c>
      <c r="C134" s="13">
        <f>B130*(7/12)</f>
        <v>5833.3333333333339</v>
      </c>
      <c r="E134" s="13">
        <f>B134*C134</f>
        <v>1271666.6666666667</v>
      </c>
      <c r="H134" s="122"/>
      <c r="I134" s="96"/>
      <c r="J134" s="96"/>
    </row>
    <row r="135" spans="1:10" x14ac:dyDescent="0.2">
      <c r="A135"/>
      <c r="B135"/>
      <c r="C135" s="113">
        <f>SUM(C133:C134)</f>
        <v>9166.6666666666679</v>
      </c>
      <c r="E135" s="113">
        <f>SUM(E133:E134)</f>
        <v>1998333.3333333335</v>
      </c>
      <c r="H135" s="122"/>
      <c r="I135" s="96"/>
      <c r="J135" s="96"/>
    </row>
    <row r="136" spans="1:10" x14ac:dyDescent="0.2">
      <c r="A136"/>
      <c r="B136"/>
      <c r="C136" s="24"/>
      <c r="D136" s="24"/>
      <c r="H136" s="197"/>
      <c r="I136" s="96"/>
      <c r="J136" s="96"/>
    </row>
    <row r="137" spans="1:10" x14ac:dyDescent="0.2">
      <c r="A137" s="180"/>
      <c r="B137" s="7" t="s">
        <v>196</v>
      </c>
      <c r="C137"/>
      <c r="D137"/>
      <c r="H137" s="122"/>
      <c r="I137" s="96"/>
      <c r="J137" s="96"/>
    </row>
    <row r="138" spans="1:10" x14ac:dyDescent="0.2">
      <c r="A138" s="140" t="s">
        <v>194</v>
      </c>
      <c r="B138" s="13">
        <f>E150</f>
        <v>5240.0399999999991</v>
      </c>
      <c r="C138"/>
      <c r="D138"/>
      <c r="H138" s="122"/>
      <c r="I138" s="96"/>
      <c r="J138" s="96"/>
    </row>
    <row r="139" spans="1:10" x14ac:dyDescent="0.2">
      <c r="A139" s="140" t="s">
        <v>195</v>
      </c>
      <c r="B139" s="13">
        <f>E151</f>
        <v>880.04000000000144</v>
      </c>
      <c r="C139" s="1"/>
      <c r="D139"/>
      <c r="F139" s="41"/>
      <c r="H139" s="122"/>
      <c r="I139" s="96"/>
      <c r="J139" s="96"/>
    </row>
    <row r="140" spans="1:10" x14ac:dyDescent="0.2">
      <c r="A140"/>
      <c r="B140"/>
      <c r="C140"/>
      <c r="D140"/>
      <c r="H140" s="122"/>
      <c r="I140" s="96"/>
      <c r="J140" s="96"/>
    </row>
    <row r="141" spans="1:10" x14ac:dyDescent="0.2">
      <c r="A141"/>
      <c r="B141" s="7" t="s">
        <v>212</v>
      </c>
      <c r="C141" s="7" t="s">
        <v>64</v>
      </c>
      <c r="D141" s="7" t="s">
        <v>160</v>
      </c>
      <c r="H141" s="122"/>
      <c r="I141" s="96"/>
      <c r="J141" s="96"/>
    </row>
    <row r="142" spans="1:10" x14ac:dyDescent="0.2">
      <c r="A142" s="181" t="s">
        <v>197</v>
      </c>
      <c r="B142" s="7">
        <v>100</v>
      </c>
      <c r="C142" s="13">
        <f>D150</f>
        <v>2183.35</v>
      </c>
      <c r="D142" s="13">
        <f>B142*C142</f>
        <v>218335</v>
      </c>
      <c r="E142" s="201" t="s">
        <v>155</v>
      </c>
      <c r="H142" s="122"/>
      <c r="I142" s="96"/>
      <c r="J142" s="96"/>
    </row>
    <row r="143" spans="1:10" x14ac:dyDescent="0.2">
      <c r="A143" s="181" t="s">
        <v>198</v>
      </c>
      <c r="B143" s="7">
        <v>100</v>
      </c>
      <c r="C143" s="13">
        <f>D151</f>
        <v>513.35666666666748</v>
      </c>
      <c r="D143" s="217">
        <f>B143*C143</f>
        <v>51335.666666666744</v>
      </c>
      <c r="E143" s="201" t="s">
        <v>155</v>
      </c>
      <c r="F143" s="41"/>
      <c r="H143" s="122"/>
      <c r="I143" s="96"/>
      <c r="J143" s="96"/>
    </row>
    <row r="144" spans="1:10" x14ac:dyDescent="0.2">
      <c r="A144"/>
      <c r="B144"/>
      <c r="C144" s="113">
        <f>SUM(C142:C143)</f>
        <v>2696.7066666666674</v>
      </c>
      <c r="D144" s="113">
        <f>SUM(D142:D143)</f>
        <v>269670.66666666674</v>
      </c>
      <c r="E144" s="13"/>
      <c r="H144" s="122"/>
      <c r="I144" s="96"/>
      <c r="J144" s="96"/>
    </row>
    <row r="145" spans="1:11" x14ac:dyDescent="0.2">
      <c r="H145" s="96"/>
      <c r="I145" s="96"/>
      <c r="J145" s="96"/>
    </row>
    <row r="146" spans="1:11" x14ac:dyDescent="0.2">
      <c r="H146" s="122"/>
      <c r="I146" s="96"/>
      <c r="J146" s="96"/>
    </row>
    <row r="147" spans="1:11" x14ac:dyDescent="0.2">
      <c r="A147"/>
      <c r="B147" s="24"/>
      <c r="C147" s="133"/>
      <c r="D147" s="380" t="s">
        <v>228</v>
      </c>
      <c r="E147" s="380"/>
      <c r="F147" s="381" t="s">
        <v>229</v>
      </c>
      <c r="G147" s="382"/>
      <c r="H147"/>
      <c r="I147"/>
      <c r="J147"/>
      <c r="K147"/>
    </row>
    <row r="148" spans="1:11" x14ac:dyDescent="0.2">
      <c r="A148"/>
      <c r="B148" s="24"/>
      <c r="C148" s="133"/>
      <c r="D148" s="378" t="s">
        <v>200</v>
      </c>
      <c r="E148" s="379" t="s">
        <v>211</v>
      </c>
      <c r="F148" s="383" t="s">
        <v>200</v>
      </c>
      <c r="G148" s="379" t="s">
        <v>201</v>
      </c>
      <c r="H148"/>
      <c r="I148"/>
      <c r="J148"/>
      <c r="K148"/>
    </row>
    <row r="149" spans="1:11" x14ac:dyDescent="0.2">
      <c r="A149"/>
      <c r="B149" s="24" t="s">
        <v>167</v>
      </c>
      <c r="C149" s="7" t="s">
        <v>168</v>
      </c>
      <c r="D149" s="378"/>
      <c r="E149" s="379"/>
      <c r="F149" s="383"/>
      <c r="G149" s="379"/>
      <c r="H149"/>
      <c r="I149"/>
      <c r="J149"/>
      <c r="K149"/>
    </row>
    <row r="150" spans="1:11" x14ac:dyDescent="0.2">
      <c r="A150" t="s">
        <v>162</v>
      </c>
      <c r="B150" s="24">
        <f>(5/12)*C126</f>
        <v>945001.66666666674</v>
      </c>
      <c r="C150" s="13">
        <f>B150-E133</f>
        <v>218335</v>
      </c>
      <c r="D150" s="200">
        <f>C150/B142</f>
        <v>2183.35</v>
      </c>
      <c r="E150" s="13">
        <f>D150/5*12</f>
        <v>5240.0399999999991</v>
      </c>
      <c r="F150" s="185">
        <f>C150/218</f>
        <v>1001.5366972477065</v>
      </c>
      <c r="G150" s="13">
        <f>F150/5*12</f>
        <v>2403.6880733944954</v>
      </c>
      <c r="H150" s="13"/>
      <c r="I150"/>
      <c r="J150"/>
      <c r="K150"/>
    </row>
    <row r="151" spans="1:11" ht="12.75" customHeight="1" x14ac:dyDescent="0.2">
      <c r="A151" t="s">
        <v>163</v>
      </c>
      <c r="B151" s="24">
        <f>C126*(7/12)</f>
        <v>1323002.3333333335</v>
      </c>
      <c r="C151" s="13">
        <f>B151-E134</f>
        <v>51335.666666666744</v>
      </c>
      <c r="D151" s="200">
        <f>C151/B143</f>
        <v>513.35666666666748</v>
      </c>
      <c r="E151" s="13">
        <f>D151/7*12</f>
        <v>880.04000000000144</v>
      </c>
      <c r="F151" s="185">
        <f>C151/218</f>
        <v>235.48470948012269</v>
      </c>
      <c r="G151" s="13">
        <f>F151/7*12</f>
        <v>403.68807339449597</v>
      </c>
      <c r="H151" s="13">
        <f>G150-G151</f>
        <v>1999.9999999999995</v>
      </c>
      <c r="J151" s="195" t="s">
        <v>204</v>
      </c>
      <c r="K151" s="195"/>
    </row>
    <row r="152" spans="1:11" ht="13.5" thickBot="1" x14ac:dyDescent="0.25">
      <c r="A152"/>
      <c r="B152" s="14">
        <f>SUM(B150:B151)</f>
        <v>2268004</v>
      </c>
      <c r="C152" s="125"/>
      <c r="D152"/>
      <c r="E152" s="17"/>
      <c r="F152" s="2"/>
      <c r="G152"/>
      <c r="H152"/>
      <c r="I152" s="195"/>
      <c r="J152" s="195"/>
      <c r="K152" s="195"/>
    </row>
    <row r="153" spans="1:11" x14ac:dyDescent="0.2">
      <c r="A153"/>
      <c r="B153"/>
      <c r="C153" s="7"/>
      <c r="D153"/>
      <c r="E153"/>
      <c r="F153"/>
      <c r="G153"/>
      <c r="H153"/>
      <c r="I153"/>
      <c r="J153"/>
      <c r="K153"/>
    </row>
    <row r="154" spans="1:11" x14ac:dyDescent="0.2">
      <c r="B154" s="40">
        <f>C126-E135</f>
        <v>269670.66666666651</v>
      </c>
    </row>
  </sheetData>
  <sheetProtection password="C462" sheet="1" objects="1" scenarios="1"/>
  <mergeCells count="8">
    <mergeCell ref="J52:J55"/>
    <mergeCell ref="J72:J79"/>
    <mergeCell ref="D147:E147"/>
    <mergeCell ref="F147:G147"/>
    <mergeCell ref="D148:D149"/>
    <mergeCell ref="E148:E149"/>
    <mergeCell ref="F148:F149"/>
    <mergeCell ref="G148:G149"/>
  </mergeCells>
  <pageMargins left="0.15748031496062992" right="0.19685039370078741" top="0.78740157480314965" bottom="0.98425196850393704" header="0.51181102362204722" footer="0.51181102362204722"/>
  <pageSetup paperSize="9" scale="51"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63"/>
  <sheetViews>
    <sheetView workbookViewId="0">
      <selection activeCell="A45" sqref="A45"/>
    </sheetView>
  </sheetViews>
  <sheetFormatPr defaultRowHeight="12.75" x14ac:dyDescent="0.2"/>
  <cols>
    <col min="1" max="1" width="42.42578125" customWidth="1"/>
    <col min="2" max="2" width="17.85546875" customWidth="1"/>
    <col min="3" max="3" width="40.7109375" customWidth="1"/>
    <col min="4" max="5" width="17.85546875" customWidth="1"/>
    <col min="6" max="6" width="22.140625" customWidth="1"/>
    <col min="7" max="7" width="14" customWidth="1"/>
    <col min="8" max="8" width="13.85546875" bestFit="1" customWidth="1"/>
    <col min="9" max="9" width="14.28515625" customWidth="1"/>
    <col min="11" max="11" width="10.140625" customWidth="1"/>
  </cols>
  <sheetData>
    <row r="2" spans="1:8" x14ac:dyDescent="0.2">
      <c r="A2" s="45" t="s">
        <v>90</v>
      </c>
      <c r="B2" s="2"/>
    </row>
    <row r="3" spans="1:8" x14ac:dyDescent="0.2">
      <c r="A3" s="2"/>
      <c r="B3" s="2"/>
    </row>
    <row r="4" spans="1:8" x14ac:dyDescent="0.2">
      <c r="A4" s="45" t="s">
        <v>263</v>
      </c>
      <c r="B4" s="2"/>
    </row>
    <row r="6" spans="1:8" ht="25.5" x14ac:dyDescent="0.2">
      <c r="A6" s="3" t="s">
        <v>1</v>
      </c>
      <c r="B6" s="3"/>
      <c r="C6" s="4" t="s">
        <v>2</v>
      </c>
      <c r="D6" s="5"/>
    </row>
    <row r="7" spans="1:8" x14ac:dyDescent="0.2">
      <c r="A7" s="68" t="s">
        <v>3</v>
      </c>
      <c r="B7" s="69">
        <v>365289</v>
      </c>
      <c r="C7" s="70" t="s">
        <v>4</v>
      </c>
      <c r="D7" s="71">
        <v>21472</v>
      </c>
    </row>
    <row r="8" spans="1:8" x14ac:dyDescent="0.2">
      <c r="A8" s="68" t="s">
        <v>5</v>
      </c>
      <c r="B8" s="69">
        <v>25496</v>
      </c>
      <c r="C8" s="72" t="s">
        <v>6</v>
      </c>
      <c r="D8" s="71">
        <v>62440</v>
      </c>
      <c r="F8" s="2" t="s">
        <v>7</v>
      </c>
    </row>
    <row r="9" spans="1:8" x14ac:dyDescent="0.2">
      <c r="A9" s="68" t="s">
        <v>8</v>
      </c>
      <c r="B9" s="69">
        <v>34683</v>
      </c>
      <c r="C9" s="72" t="s">
        <v>9</v>
      </c>
      <c r="D9" s="71">
        <v>35212.360655737706</v>
      </c>
      <c r="F9" s="2" t="s">
        <v>10</v>
      </c>
      <c r="G9" s="223">
        <v>30</v>
      </c>
    </row>
    <row r="10" spans="1:8" x14ac:dyDescent="0.2">
      <c r="A10" s="68" t="s">
        <v>11</v>
      </c>
      <c r="B10" s="69">
        <v>50828</v>
      </c>
      <c r="C10" s="72" t="s">
        <v>12</v>
      </c>
      <c r="D10" s="71">
        <v>4000</v>
      </c>
      <c r="F10" s="2" t="s">
        <v>13</v>
      </c>
      <c r="G10" s="223">
        <v>30</v>
      </c>
    </row>
    <row r="11" spans="1:8" x14ac:dyDescent="0.2">
      <c r="A11" s="68" t="s">
        <v>14</v>
      </c>
      <c r="B11" s="69">
        <v>38676</v>
      </c>
      <c r="C11" s="72" t="s">
        <v>15</v>
      </c>
      <c r="D11" s="71">
        <v>4000</v>
      </c>
      <c r="F11" s="2" t="s">
        <v>16</v>
      </c>
      <c r="G11" s="223">
        <v>30</v>
      </c>
    </row>
    <row r="12" spans="1:8" x14ac:dyDescent="0.2">
      <c r="A12" s="68" t="s">
        <v>17</v>
      </c>
      <c r="B12" s="69">
        <v>1271</v>
      </c>
      <c r="C12" s="72" t="s">
        <v>18</v>
      </c>
      <c r="D12" s="71">
        <v>15456</v>
      </c>
      <c r="F12" s="2" t="s">
        <v>19</v>
      </c>
      <c r="G12" s="223">
        <v>20</v>
      </c>
    </row>
    <row r="13" spans="1:8" ht="13.5" thickBot="1" x14ac:dyDescent="0.25">
      <c r="A13" s="68" t="s">
        <v>20</v>
      </c>
      <c r="B13" s="69">
        <v>61872</v>
      </c>
      <c r="C13" s="72" t="s">
        <v>21</v>
      </c>
      <c r="D13" s="71">
        <v>13000</v>
      </c>
      <c r="G13" s="8">
        <f>SUM(G9:G12)</f>
        <v>110</v>
      </c>
    </row>
    <row r="14" spans="1:8" x14ac:dyDescent="0.2">
      <c r="A14" s="68" t="s">
        <v>22</v>
      </c>
      <c r="B14" s="69">
        <v>17462</v>
      </c>
      <c r="C14" s="72" t="s">
        <v>23</v>
      </c>
      <c r="D14" s="71">
        <v>10000</v>
      </c>
    </row>
    <row r="15" spans="1:8" x14ac:dyDescent="0.2">
      <c r="A15" s="68" t="s">
        <v>24</v>
      </c>
      <c r="B15" s="69">
        <v>16371</v>
      </c>
      <c r="C15" s="72" t="s">
        <v>25</v>
      </c>
      <c r="D15" s="71">
        <v>1000</v>
      </c>
      <c r="F15" s="10" t="s">
        <v>26</v>
      </c>
      <c r="G15" s="11">
        <f>SUM('LTLC Budget 201516'!B16)</f>
        <v>12431.498557692306</v>
      </c>
      <c r="H15" s="12" t="s">
        <v>27</v>
      </c>
    </row>
    <row r="16" spans="1:8" x14ac:dyDescent="0.2">
      <c r="A16" s="73"/>
      <c r="B16" s="73"/>
      <c r="C16" s="72" t="s">
        <v>28</v>
      </c>
      <c r="D16" s="71">
        <v>20000</v>
      </c>
      <c r="F16" s="12" t="s">
        <v>29</v>
      </c>
      <c r="G16" s="10"/>
      <c r="H16" s="10"/>
    </row>
    <row r="17" spans="1:6" x14ac:dyDescent="0.2">
      <c r="A17" s="73"/>
      <c r="B17" s="73"/>
      <c r="C17" s="72" t="s">
        <v>30</v>
      </c>
      <c r="D17" s="71">
        <v>12000</v>
      </c>
    </row>
    <row r="18" spans="1:6" x14ac:dyDescent="0.2">
      <c r="A18" s="73"/>
      <c r="B18" s="73"/>
      <c r="C18" s="70" t="s">
        <v>31</v>
      </c>
      <c r="D18" s="71">
        <v>3320</v>
      </c>
    </row>
    <row r="19" spans="1:6" x14ac:dyDescent="0.2">
      <c r="A19" s="73"/>
      <c r="B19" s="73"/>
      <c r="C19" s="74" t="s">
        <v>32</v>
      </c>
      <c r="D19" s="71">
        <v>35000</v>
      </c>
    </row>
    <row r="20" spans="1:6" x14ac:dyDescent="0.2">
      <c r="A20" s="73"/>
      <c r="B20" s="73"/>
      <c r="C20" s="74" t="s">
        <v>33</v>
      </c>
      <c r="D20" s="75">
        <f>6600+25636+12571.5</f>
        <v>44807.5</v>
      </c>
    </row>
    <row r="23" spans="1:6" x14ac:dyDescent="0.2">
      <c r="A23" s="18" t="s">
        <v>264</v>
      </c>
      <c r="D23" s="2" t="s">
        <v>7</v>
      </c>
    </row>
    <row r="24" spans="1:6" x14ac:dyDescent="0.2">
      <c r="A24" s="18"/>
      <c r="D24" s="2" t="s">
        <v>10</v>
      </c>
      <c r="E24" s="223">
        <v>30</v>
      </c>
    </row>
    <row r="25" spans="1:6" x14ac:dyDescent="0.2">
      <c r="A25" s="2" t="s">
        <v>34</v>
      </c>
      <c r="B25" s="13">
        <f>SUM(B7:B15)</f>
        <v>611948</v>
      </c>
      <c r="D25" s="2" t="s">
        <v>13</v>
      </c>
      <c r="E25" s="223">
        <v>30</v>
      </c>
    </row>
    <row r="26" spans="1:6" x14ac:dyDescent="0.2">
      <c r="A26" s="2" t="s">
        <v>35</v>
      </c>
      <c r="B26" s="13">
        <f>SUM(D7:D19)</f>
        <v>236900.36065573769</v>
      </c>
      <c r="D26" s="2" t="s">
        <v>16</v>
      </c>
      <c r="E26" s="223">
        <v>30</v>
      </c>
    </row>
    <row r="27" spans="1:6" x14ac:dyDescent="0.2">
      <c r="A27" s="2" t="s">
        <v>36</v>
      </c>
      <c r="B27" s="13">
        <f>G13*G15</f>
        <v>1367464.8413461538</v>
      </c>
      <c r="D27" s="2" t="s">
        <v>19</v>
      </c>
      <c r="E27" s="15">
        <v>20</v>
      </c>
      <c r="F27" s="2" t="s">
        <v>38</v>
      </c>
    </row>
    <row r="28" spans="1:6" ht="13.5" thickBot="1" x14ac:dyDescent="0.25">
      <c r="A28" s="2" t="s">
        <v>33</v>
      </c>
      <c r="B28" s="13">
        <f>D20</f>
        <v>44807.5</v>
      </c>
      <c r="E28" s="16">
        <f>SUM(E24:E27)</f>
        <v>110</v>
      </c>
    </row>
    <row r="29" spans="1:6" ht="13.5" thickBot="1" x14ac:dyDescent="0.25">
      <c r="B29" s="14">
        <f>SUM(B25:B28)</f>
        <v>2261120.7020018916</v>
      </c>
      <c r="C29" s="2" t="s">
        <v>58</v>
      </c>
      <c r="E29" s="17">
        <f>E28*65%</f>
        <v>71.5</v>
      </c>
      <c r="F29" s="2" t="s">
        <v>39</v>
      </c>
    </row>
    <row r="30" spans="1:6" x14ac:dyDescent="0.2">
      <c r="B30" s="24"/>
      <c r="C30" s="2"/>
      <c r="E30" s="17"/>
      <c r="F30" s="2"/>
    </row>
    <row r="31" spans="1:6" x14ac:dyDescent="0.2">
      <c r="A31" t="s">
        <v>254</v>
      </c>
      <c r="B31" s="233">
        <v>10000</v>
      </c>
      <c r="C31" s="225">
        <f>(B31*E28)*5/12</f>
        <v>458333.33333333331</v>
      </c>
      <c r="E31" s="17"/>
      <c r="F31" s="2"/>
    </row>
    <row r="32" spans="1:6" x14ac:dyDescent="0.2">
      <c r="A32" t="s">
        <v>255</v>
      </c>
      <c r="B32" s="233">
        <v>10000</v>
      </c>
      <c r="C32" s="225">
        <f>(B32*E28)*7/12</f>
        <v>641666.66666666663</v>
      </c>
      <c r="E32" s="17"/>
      <c r="F32" s="2"/>
    </row>
    <row r="33" spans="1:11" x14ac:dyDescent="0.2">
      <c r="A33" t="s">
        <v>158</v>
      </c>
      <c r="B33" s="24"/>
      <c r="C33" s="232">
        <f>SUM(C31:C32)</f>
        <v>1100000</v>
      </c>
      <c r="E33" s="24"/>
      <c r="F33" s="45"/>
    </row>
    <row r="34" spans="1:11" x14ac:dyDescent="0.2">
      <c r="B34" s="24"/>
      <c r="C34" s="133"/>
      <c r="D34" s="380" t="s">
        <v>202</v>
      </c>
      <c r="E34" s="380"/>
      <c r="F34" s="381" t="s">
        <v>203</v>
      </c>
      <c r="G34" s="382"/>
    </row>
    <row r="35" spans="1:11" x14ac:dyDescent="0.2">
      <c r="B35" s="24"/>
      <c r="C35" s="133"/>
      <c r="D35" s="378" t="s">
        <v>200</v>
      </c>
      <c r="E35" s="379" t="s">
        <v>211</v>
      </c>
      <c r="F35" s="383" t="s">
        <v>200</v>
      </c>
      <c r="G35" s="379" t="s">
        <v>211</v>
      </c>
    </row>
    <row r="36" spans="1:11" x14ac:dyDescent="0.2">
      <c r="B36" s="24" t="s">
        <v>167</v>
      </c>
      <c r="C36" s="223" t="s">
        <v>168</v>
      </c>
      <c r="D36" s="378"/>
      <c r="E36" s="379"/>
      <c r="F36" s="383"/>
      <c r="G36" s="379"/>
    </row>
    <row r="37" spans="1:11" x14ac:dyDescent="0.2">
      <c r="A37" t="s">
        <v>259</v>
      </c>
      <c r="B37" s="24">
        <f>B29*(5/12)</f>
        <v>942133.62583412149</v>
      </c>
      <c r="C37" s="13">
        <f>B37-C31</f>
        <v>483800.29250078817</v>
      </c>
      <c r="D37" s="125">
        <f>C37/E29</f>
        <v>6766.4376573536811</v>
      </c>
      <c r="E37" s="217">
        <f>D37/5*12</f>
        <v>16239.450377648835</v>
      </c>
      <c r="F37" s="185">
        <f>C37/110</f>
        <v>4398.1844772798922</v>
      </c>
      <c r="G37" s="13">
        <f>F37/5*12</f>
        <v>10555.642745471741</v>
      </c>
      <c r="H37" s="13"/>
    </row>
    <row r="38" spans="1:11" x14ac:dyDescent="0.2">
      <c r="A38" t="s">
        <v>260</v>
      </c>
      <c r="B38" s="24">
        <f>B29*(7/12)</f>
        <v>1318987.0761677702</v>
      </c>
      <c r="C38" s="13">
        <f>B38-C32</f>
        <v>677320.40950110357</v>
      </c>
      <c r="D38" s="125">
        <f>C38/E29</f>
        <v>9473.0127202951553</v>
      </c>
      <c r="E38" s="13">
        <f>D38/7*12</f>
        <v>16239.450377648838</v>
      </c>
      <c r="F38" s="185">
        <f>C38/110</f>
        <v>6157.4582681918509</v>
      </c>
      <c r="G38" s="13">
        <f>F38/7*12</f>
        <v>10555.642745471745</v>
      </c>
      <c r="H38" s="13">
        <f>G37-G38</f>
        <v>0</v>
      </c>
      <c r="I38" s="56"/>
      <c r="J38" s="56"/>
      <c r="K38" s="56"/>
    </row>
    <row r="39" spans="1:11" ht="13.5" thickBot="1" x14ac:dyDescent="0.25">
      <c r="B39" s="14">
        <f>SUM(B37:B38)</f>
        <v>2261120.7020018916</v>
      </c>
      <c r="C39" s="234">
        <f>SUM(C37:C38)</f>
        <v>1161120.7020018918</v>
      </c>
      <c r="D39" s="14">
        <f>SUM(D37:D38)</f>
        <v>16239.450377648836</v>
      </c>
      <c r="E39" s="17"/>
      <c r="F39" s="236">
        <f>SUM(F37:F38)</f>
        <v>10555.642745471743</v>
      </c>
      <c r="I39" s="56"/>
      <c r="J39" s="56"/>
      <c r="K39" s="56"/>
    </row>
    <row r="40" spans="1:11" x14ac:dyDescent="0.2">
      <c r="C40" s="223"/>
      <c r="D40" s="235" t="s">
        <v>155</v>
      </c>
      <c r="F40" s="235" t="s">
        <v>155</v>
      </c>
    </row>
    <row r="41" spans="1:11" x14ac:dyDescent="0.2">
      <c r="B41" t="s">
        <v>287</v>
      </c>
      <c r="C41" s="217">
        <f>C39/E29</f>
        <v>16239.450377648836</v>
      </c>
    </row>
    <row r="42" spans="1:11" x14ac:dyDescent="0.2">
      <c r="C42" s="235" t="s">
        <v>155</v>
      </c>
    </row>
    <row r="43" spans="1:11" x14ac:dyDescent="0.2">
      <c r="D43" s="134" t="s">
        <v>73</v>
      </c>
      <c r="E43" s="134" t="s">
        <v>161</v>
      </c>
      <c r="F43" s="135" t="s">
        <v>164</v>
      </c>
    </row>
    <row r="44" spans="1:11" x14ac:dyDescent="0.2">
      <c r="D44" s="136">
        <v>110</v>
      </c>
      <c r="E44" s="137">
        <f>B31*(5/12)</f>
        <v>4166.666666666667</v>
      </c>
      <c r="F44" s="237">
        <f>D44*E44</f>
        <v>458333.33333333337</v>
      </c>
    </row>
    <row r="45" spans="1:11" x14ac:dyDescent="0.2">
      <c r="D45" s="136">
        <v>110</v>
      </c>
      <c r="E45" s="137">
        <f>B32*(7/12)</f>
        <v>5833.3333333333339</v>
      </c>
      <c r="F45" s="237">
        <f>D45*E45</f>
        <v>641666.66666666674</v>
      </c>
    </row>
    <row r="46" spans="1:11" x14ac:dyDescent="0.2">
      <c r="D46" s="136"/>
      <c r="E46" s="138">
        <f>SUM(E44:E45)</f>
        <v>10000</v>
      </c>
      <c r="F46" s="138">
        <f>SUM(F44:F45)</f>
        <v>1100000</v>
      </c>
      <c r="G46" s="227" t="s">
        <v>155</v>
      </c>
    </row>
    <row r="47" spans="1:11" ht="13.5" thickBot="1" x14ac:dyDescent="0.25"/>
    <row r="48" spans="1:11" ht="13.5" thickBot="1" x14ac:dyDescent="0.25">
      <c r="A48" s="140" t="s">
        <v>261</v>
      </c>
      <c r="B48" s="139"/>
      <c r="C48" s="141">
        <f>E37</f>
        <v>16239.450377648835</v>
      </c>
    </row>
    <row r="49" spans="1:7" ht="13.5" thickBot="1" x14ac:dyDescent="0.25">
      <c r="A49" s="140" t="s">
        <v>262</v>
      </c>
      <c r="B49" s="139"/>
      <c r="C49" s="141">
        <f>E38</f>
        <v>16239.450377648838</v>
      </c>
    </row>
    <row r="51" spans="1:7" x14ac:dyDescent="0.2">
      <c r="C51" s="1"/>
      <c r="D51" s="127" t="s">
        <v>159</v>
      </c>
      <c r="E51" s="127" t="s">
        <v>64</v>
      </c>
      <c r="F51" s="128" t="s">
        <v>160</v>
      </c>
    </row>
    <row r="52" spans="1:7" x14ac:dyDescent="0.2">
      <c r="D52" s="129">
        <v>71.5</v>
      </c>
      <c r="E52" s="130">
        <f>SUM(D37)</f>
        <v>6766.4376573536811</v>
      </c>
      <c r="F52" s="184">
        <f>SUM(D52*E52)</f>
        <v>483800.29250078817</v>
      </c>
    </row>
    <row r="53" spans="1:7" x14ac:dyDescent="0.2">
      <c r="D53" s="129">
        <v>71.5</v>
      </c>
      <c r="E53" s="130">
        <f>SUM(D38)</f>
        <v>9473.0127202951553</v>
      </c>
      <c r="F53" s="184">
        <f>SUM(D53*E53)</f>
        <v>677320.40950110357</v>
      </c>
    </row>
    <row r="54" spans="1:7" x14ac:dyDescent="0.2">
      <c r="D54" s="127"/>
      <c r="E54" s="132">
        <f>SUM(E52:E53)</f>
        <v>16239.450377648836</v>
      </c>
      <c r="F54" s="132">
        <f>SUM(F52:F53)</f>
        <v>1161120.7020018918</v>
      </c>
      <c r="G54" t="s">
        <v>155</v>
      </c>
    </row>
    <row r="55" spans="1:7" x14ac:dyDescent="0.2">
      <c r="D55" s="127"/>
      <c r="E55" s="131"/>
      <c r="F55" s="131"/>
    </row>
    <row r="56" spans="1:7" x14ac:dyDescent="0.2">
      <c r="D56" s="127" t="s">
        <v>159</v>
      </c>
      <c r="E56" s="127" t="s">
        <v>64</v>
      </c>
      <c r="F56" s="127" t="s">
        <v>160</v>
      </c>
    </row>
    <row r="57" spans="1:7" x14ac:dyDescent="0.2">
      <c r="D57" s="127">
        <v>38.5</v>
      </c>
      <c r="E57" s="131">
        <v>0</v>
      </c>
      <c r="F57" s="131">
        <v>0</v>
      </c>
    </row>
    <row r="58" spans="1:7" x14ac:dyDescent="0.2">
      <c r="D58" s="127">
        <v>38.5</v>
      </c>
      <c r="E58" s="131">
        <v>0</v>
      </c>
      <c r="F58" s="131">
        <v>0</v>
      </c>
    </row>
    <row r="59" spans="1:7" x14ac:dyDescent="0.2">
      <c r="D59" s="127"/>
      <c r="E59" s="132">
        <v>0</v>
      </c>
      <c r="F59" s="132">
        <v>0</v>
      </c>
      <c r="G59" t="s">
        <v>155</v>
      </c>
    </row>
    <row r="60" spans="1:7" x14ac:dyDescent="0.2">
      <c r="D60" s="127"/>
      <c r="E60" s="131"/>
      <c r="F60" s="131"/>
    </row>
    <row r="62" spans="1:7" ht="13.5" thickBot="1" x14ac:dyDescent="0.25">
      <c r="C62" s="143"/>
      <c r="D62" s="145" t="s">
        <v>258</v>
      </c>
      <c r="E62" s="144"/>
      <c r="F62" s="142">
        <f>F46+F54+F59</f>
        <v>2261120.702001892</v>
      </c>
      <c r="G62" t="s">
        <v>155</v>
      </c>
    </row>
    <row r="63" spans="1:7" ht="13.5" thickTop="1" x14ac:dyDescent="0.2"/>
  </sheetData>
  <mergeCells count="6">
    <mergeCell ref="D34:E34"/>
    <mergeCell ref="F34:G34"/>
    <mergeCell ref="D35:D36"/>
    <mergeCell ref="E35:E36"/>
    <mergeCell ref="F35:F36"/>
    <mergeCell ref="G35:G3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27"/>
  <sheetViews>
    <sheetView zoomScale="85" zoomScaleNormal="85" workbookViewId="0">
      <selection activeCell="B20" sqref="B20"/>
    </sheetView>
  </sheetViews>
  <sheetFormatPr defaultRowHeight="12.75" x14ac:dyDescent="0.2"/>
  <cols>
    <col min="1" max="1" width="46.85546875" customWidth="1"/>
    <col min="2" max="2" width="25.7109375" customWidth="1"/>
    <col min="3" max="3" width="3" style="206" customWidth="1"/>
    <col min="4" max="5" width="25.7109375" customWidth="1"/>
    <col min="6" max="6" width="34.140625" customWidth="1"/>
    <col min="8" max="8" width="40.7109375" customWidth="1"/>
  </cols>
  <sheetData>
    <row r="1" spans="1:9" ht="18" x14ac:dyDescent="0.25">
      <c r="A1" s="165" t="s">
        <v>250</v>
      </c>
    </row>
    <row r="3" spans="1:9" ht="24.75" customHeight="1" x14ac:dyDescent="0.2">
      <c r="A3" s="157" t="s">
        <v>171</v>
      </c>
      <c r="B3" s="158" t="s">
        <v>251</v>
      </c>
      <c r="C3" s="207"/>
      <c r="E3">
        <v>6</v>
      </c>
      <c r="F3" s="153" t="s">
        <v>174</v>
      </c>
      <c r="G3" s="154">
        <f>SUM(G4:G12)</f>
        <v>611948</v>
      </c>
      <c r="H3" s="155" t="s">
        <v>175</v>
      </c>
      <c r="I3" s="156">
        <f>SUM(I4:I16)</f>
        <v>236900.36065573769</v>
      </c>
    </row>
    <row r="4" spans="1:9" x14ac:dyDescent="0.2">
      <c r="A4" s="146" t="s">
        <v>34</v>
      </c>
      <c r="B4" s="130">
        <f>'Summary 201617'!B25</f>
        <v>611948</v>
      </c>
      <c r="C4" s="202"/>
      <c r="F4" s="68" t="s">
        <v>3</v>
      </c>
      <c r="G4" s="69">
        <f>'Summary 201516'!B7</f>
        <v>365289</v>
      </c>
      <c r="H4" s="70" t="s">
        <v>4</v>
      </c>
      <c r="I4" s="71">
        <f>'Summary 201516'!D7</f>
        <v>21472</v>
      </c>
    </row>
    <row r="5" spans="1:9" x14ac:dyDescent="0.2">
      <c r="A5" s="146" t="s">
        <v>35</v>
      </c>
      <c r="B5" s="130">
        <f>'Summary 201617'!B26</f>
        <v>236900.36065573769</v>
      </c>
      <c r="C5" s="202">
        <v>1</v>
      </c>
      <c r="F5" s="68" t="s">
        <v>5</v>
      </c>
      <c r="G5" s="69">
        <f>'Summary 201516'!B8</f>
        <v>25496</v>
      </c>
      <c r="H5" s="72" t="s">
        <v>6</v>
      </c>
      <c r="I5" s="71">
        <f>'Summary 201516'!D8</f>
        <v>62440</v>
      </c>
    </row>
    <row r="6" spans="1:9" x14ac:dyDescent="0.2">
      <c r="A6" s="146" t="s">
        <v>169</v>
      </c>
      <c r="B6" s="130">
        <f>'Summary 201617'!B27</f>
        <v>1367464.8413461538</v>
      </c>
      <c r="C6" s="202"/>
      <c r="F6" s="68" t="s">
        <v>8</v>
      </c>
      <c r="G6" s="69">
        <f>'Summary 201516'!B9</f>
        <v>34683</v>
      </c>
      <c r="H6" s="72" t="s">
        <v>9</v>
      </c>
      <c r="I6" s="71">
        <f>'Summary 201516'!D9</f>
        <v>35212.360655737706</v>
      </c>
    </row>
    <row r="7" spans="1:9" x14ac:dyDescent="0.2">
      <c r="A7" s="147" t="s">
        <v>33</v>
      </c>
      <c r="B7" s="130">
        <f>'Summary 201617'!B28</f>
        <v>44807.5</v>
      </c>
      <c r="C7" s="202"/>
      <c r="F7" s="68" t="s">
        <v>11</v>
      </c>
      <c r="G7" s="69">
        <f>'Summary 201516'!B10</f>
        <v>50828</v>
      </c>
      <c r="H7" s="72" t="s">
        <v>12</v>
      </c>
      <c r="I7" s="71">
        <f>'Summary 201516'!D10</f>
        <v>4000</v>
      </c>
    </row>
    <row r="8" spans="1:9" x14ac:dyDescent="0.2">
      <c r="A8" s="152" t="s">
        <v>275</v>
      </c>
      <c r="B8" s="159">
        <f>SUM(B4:B7)</f>
        <v>2261120.7020018916</v>
      </c>
      <c r="C8" s="208">
        <v>2</v>
      </c>
      <c r="F8" s="68" t="s">
        <v>14</v>
      </c>
      <c r="G8" s="69">
        <f>'Summary 201516'!B11</f>
        <v>38676</v>
      </c>
      <c r="H8" s="72" t="s">
        <v>15</v>
      </c>
      <c r="I8" s="71">
        <f>'Summary 201516'!D11</f>
        <v>4000</v>
      </c>
    </row>
    <row r="9" spans="1:9" x14ac:dyDescent="0.2">
      <c r="F9" s="68" t="s">
        <v>17</v>
      </c>
      <c r="G9" s="69">
        <f>'Summary 201516'!B12</f>
        <v>1271</v>
      </c>
      <c r="H9" s="72" t="s">
        <v>18</v>
      </c>
      <c r="I9" s="71">
        <f>'Summary 201516'!D12</f>
        <v>15456</v>
      </c>
    </row>
    <row r="10" spans="1:9" ht="13.5" thickBot="1" x14ac:dyDescent="0.25">
      <c r="F10" s="68" t="s">
        <v>20</v>
      </c>
      <c r="G10" s="69">
        <f>'Summary 201516'!B13</f>
        <v>61872</v>
      </c>
      <c r="H10" s="72" t="s">
        <v>21</v>
      </c>
      <c r="I10" s="71">
        <f>'Summary 201516'!D13</f>
        <v>13000</v>
      </c>
    </row>
    <row r="11" spans="1:9" x14ac:dyDescent="0.2">
      <c r="A11" s="148" t="s">
        <v>268</v>
      </c>
      <c r="B11" s="149" t="s">
        <v>73</v>
      </c>
      <c r="C11" s="208">
        <v>3</v>
      </c>
      <c r="F11" s="68" t="s">
        <v>22</v>
      </c>
      <c r="G11" s="69">
        <f>'Summary 201516'!B14</f>
        <v>17462</v>
      </c>
      <c r="H11" s="72" t="s">
        <v>23</v>
      </c>
      <c r="I11" s="71">
        <f>'Summary 201516'!D14</f>
        <v>10000</v>
      </c>
    </row>
    <row r="12" spans="1:9" x14ac:dyDescent="0.2">
      <c r="A12" s="151" t="s">
        <v>266</v>
      </c>
      <c r="B12" s="150">
        <f>'Summary 201617'!E28</f>
        <v>110</v>
      </c>
      <c r="C12" s="203"/>
      <c r="F12" s="68" t="s">
        <v>24</v>
      </c>
      <c r="G12" s="69">
        <f>'Summary 201516'!B15</f>
        <v>16371</v>
      </c>
      <c r="H12" s="72" t="s">
        <v>25</v>
      </c>
      <c r="I12" s="71">
        <f>'Summary 201516'!D15</f>
        <v>1000</v>
      </c>
    </row>
    <row r="13" spans="1:9" ht="13.5" thickBot="1" x14ac:dyDescent="0.25">
      <c r="A13" s="168" t="s">
        <v>267</v>
      </c>
      <c r="B13" s="169">
        <f>'Summary 201617'!E28</f>
        <v>110</v>
      </c>
      <c r="C13" s="203"/>
      <c r="F13" s="73"/>
      <c r="G13" s="73"/>
      <c r="H13" s="72" t="s">
        <v>28</v>
      </c>
      <c r="I13" s="71">
        <f>'Summary 201516'!D16</f>
        <v>20000</v>
      </c>
    </row>
    <row r="14" spans="1:9" ht="13.5" thickBot="1" x14ac:dyDescent="0.25">
      <c r="F14" s="73"/>
      <c r="G14" s="73"/>
      <c r="H14" s="72" t="s">
        <v>30</v>
      </c>
      <c r="I14" s="71">
        <f>'Summary 201516'!D17</f>
        <v>12000</v>
      </c>
    </row>
    <row r="15" spans="1:9" x14ac:dyDescent="0.2">
      <c r="A15" s="170" t="s">
        <v>177</v>
      </c>
      <c r="B15" s="171" t="s">
        <v>178</v>
      </c>
      <c r="C15" s="209">
        <v>4</v>
      </c>
      <c r="F15" s="73"/>
      <c r="G15" s="73"/>
      <c r="H15" s="70" t="s">
        <v>31</v>
      </c>
      <c r="I15" s="71">
        <f>'Summary 201516'!D18</f>
        <v>3320</v>
      </c>
    </row>
    <row r="16" spans="1:9" x14ac:dyDescent="0.2">
      <c r="A16" s="172" t="s">
        <v>176</v>
      </c>
      <c r="B16" s="173">
        <f>'Summary 201617'!G15</f>
        <v>12431.498557692306</v>
      </c>
      <c r="C16" s="209"/>
      <c r="F16" s="73"/>
      <c r="G16" s="73"/>
      <c r="H16" s="74" t="s">
        <v>32</v>
      </c>
      <c r="I16" s="71">
        <f>'Summary 201516'!D19</f>
        <v>35000</v>
      </c>
    </row>
    <row r="17" spans="1:10" ht="13.5" thickBot="1" x14ac:dyDescent="0.25">
      <c r="A17" s="386" t="s">
        <v>179</v>
      </c>
      <c r="B17" s="387"/>
      <c r="C17" s="204"/>
    </row>
    <row r="18" spans="1:10" ht="13.5" thickBot="1" x14ac:dyDescent="0.25">
      <c r="G18">
        <v>7</v>
      </c>
      <c r="H18" s="170" t="s">
        <v>190</v>
      </c>
      <c r="I18" s="171" t="s">
        <v>73</v>
      </c>
    </row>
    <row r="19" spans="1:10" x14ac:dyDescent="0.2">
      <c r="A19" s="170" t="s">
        <v>274</v>
      </c>
      <c r="B19" s="171" t="s">
        <v>273</v>
      </c>
      <c r="C19" s="210">
        <v>5</v>
      </c>
      <c r="H19" s="175" t="s">
        <v>10</v>
      </c>
      <c r="I19" s="176">
        <v>30</v>
      </c>
    </row>
    <row r="20" spans="1:10" x14ac:dyDescent="0.2">
      <c r="A20" s="228" t="s">
        <v>270</v>
      </c>
      <c r="B20" s="229">
        <f>(B4+B5+B6+B7)/B12</f>
        <v>20555.642745471741</v>
      </c>
      <c r="H20" s="175" t="s">
        <v>13</v>
      </c>
      <c r="I20" s="176">
        <v>30</v>
      </c>
    </row>
    <row r="21" spans="1:10" x14ac:dyDescent="0.2">
      <c r="A21" s="172" t="s">
        <v>271</v>
      </c>
      <c r="B21" s="173">
        <v>10000</v>
      </c>
      <c r="H21" s="175" t="s">
        <v>16</v>
      </c>
      <c r="I21" s="176">
        <v>30</v>
      </c>
    </row>
    <row r="22" spans="1:10" ht="13.5" thickBot="1" x14ac:dyDescent="0.25">
      <c r="A22" s="179" t="s">
        <v>272</v>
      </c>
      <c r="B22" s="230">
        <f>B20-B21</f>
        <v>10555.642745471741</v>
      </c>
      <c r="C22" s="210" t="s">
        <v>277</v>
      </c>
      <c r="H22" s="175" t="s">
        <v>19</v>
      </c>
      <c r="I22" s="176">
        <v>20</v>
      </c>
    </row>
    <row r="23" spans="1:10" ht="13.5" thickBot="1" x14ac:dyDescent="0.25">
      <c r="H23" s="179" t="s">
        <v>269</v>
      </c>
      <c r="I23" s="178">
        <f>SUM(I19:I22)</f>
        <v>110</v>
      </c>
    </row>
    <row r="24" spans="1:10" x14ac:dyDescent="0.2">
      <c r="A24" s="163" t="s">
        <v>49</v>
      </c>
      <c r="B24" s="164" t="s">
        <v>185</v>
      </c>
      <c r="C24" s="210"/>
      <c r="D24" s="182" t="s">
        <v>184</v>
      </c>
      <c r="E24" s="182"/>
    </row>
    <row r="25" spans="1:10" x14ac:dyDescent="0.2">
      <c r="A25" s="161" t="s">
        <v>181</v>
      </c>
      <c r="B25" s="226">
        <f>270886*(5/12)</f>
        <v>112869.16666666667</v>
      </c>
      <c r="C25" s="210">
        <v>8</v>
      </c>
      <c r="D25" s="183" t="s">
        <v>291</v>
      </c>
      <c r="E25" s="183"/>
      <c r="F25" s="227"/>
    </row>
    <row r="26" spans="1:10" x14ac:dyDescent="0.2">
      <c r="A26" s="161" t="s">
        <v>182</v>
      </c>
      <c r="B26" s="226">
        <f>321350</f>
        <v>321350</v>
      </c>
      <c r="C26" s="210">
        <v>9</v>
      </c>
      <c r="D26" s="183" t="s">
        <v>290</v>
      </c>
      <c r="E26" s="183"/>
    </row>
    <row r="27" spans="1:10" x14ac:dyDescent="0.2">
      <c r="A27" s="161"/>
      <c r="B27" s="166">
        <f>SUM(B25:B26)</f>
        <v>434219.16666666669</v>
      </c>
      <c r="C27" s="209"/>
    </row>
    <row r="28" spans="1:10" x14ac:dyDescent="0.2">
      <c r="A28" s="161"/>
      <c r="B28" s="167"/>
      <c r="C28" s="209"/>
    </row>
    <row r="29" spans="1:10" x14ac:dyDescent="0.2">
      <c r="A29" s="152" t="s">
        <v>252</v>
      </c>
      <c r="B29" s="116">
        <f>B8+B27</f>
        <v>2695339.8686685581</v>
      </c>
      <c r="C29" s="210">
        <v>10</v>
      </c>
      <c r="D29" s="183" t="s">
        <v>188</v>
      </c>
      <c r="E29" s="183"/>
    </row>
    <row r="30" spans="1:10" x14ac:dyDescent="0.2">
      <c r="A30" s="152"/>
      <c r="B30" s="116"/>
      <c r="C30" s="210"/>
      <c r="D30" s="183"/>
      <c r="E30" s="183"/>
    </row>
    <row r="31" spans="1:10" ht="13.5" thickBot="1" x14ac:dyDescent="0.25">
      <c r="A31" s="19"/>
      <c r="B31" s="19"/>
      <c r="C31" s="211"/>
      <c r="D31" s="19"/>
      <c r="E31" s="19"/>
      <c r="F31" s="19"/>
      <c r="G31" s="19"/>
      <c r="H31" s="19"/>
      <c r="I31" s="19"/>
      <c r="J31" s="65"/>
    </row>
    <row r="33" spans="1:10" ht="18" x14ac:dyDescent="0.25">
      <c r="A33" s="165" t="s">
        <v>253</v>
      </c>
    </row>
    <row r="35" spans="1:10" ht="12.75" customHeight="1" x14ac:dyDescent="0.2">
      <c r="A35" s="385" t="s">
        <v>286</v>
      </c>
      <c r="B35" s="385"/>
      <c r="C35" s="385"/>
      <c r="D35" s="385"/>
      <c r="E35" s="385"/>
      <c r="F35" s="385"/>
      <c r="G35" s="385"/>
      <c r="H35" s="385"/>
      <c r="I35" s="385"/>
      <c r="J35" s="195"/>
    </row>
    <row r="36" spans="1:10" x14ac:dyDescent="0.2">
      <c r="A36" s="385"/>
      <c r="B36" s="385"/>
      <c r="C36" s="385"/>
      <c r="D36" s="385"/>
      <c r="E36" s="385"/>
      <c r="F36" s="385"/>
      <c r="G36" s="385"/>
      <c r="H36" s="385"/>
      <c r="I36" s="385"/>
      <c r="J36" s="195"/>
    </row>
    <row r="38" spans="1:10" x14ac:dyDescent="0.2">
      <c r="B38" s="223" t="s">
        <v>161</v>
      </c>
      <c r="C38" s="210"/>
      <c r="E38" s="223"/>
    </row>
    <row r="39" spans="1:10" x14ac:dyDescent="0.2">
      <c r="A39" t="str">
        <f>'Summary 201617'!A31</f>
        <v>Place Funding: April 16 - August 16</v>
      </c>
      <c r="B39" s="13">
        <f>'Summary 201617'!B31</f>
        <v>10000</v>
      </c>
      <c r="C39" s="231">
        <v>11</v>
      </c>
      <c r="D39" s="13"/>
      <c r="E39" s="13"/>
    </row>
    <row r="40" spans="1:10" x14ac:dyDescent="0.2">
      <c r="A40" t="str">
        <f>'Summary 201617'!A32</f>
        <v>Place Funding: September 16 - March 17</v>
      </c>
      <c r="B40" s="13">
        <f>'Summary 201617'!B32</f>
        <v>10000</v>
      </c>
      <c r="C40" s="210"/>
      <c r="D40" s="13"/>
      <c r="E40" s="13"/>
    </row>
    <row r="41" spans="1:10" x14ac:dyDescent="0.2">
      <c r="B41" s="13"/>
      <c r="C41" s="210"/>
      <c r="D41" s="13"/>
      <c r="E41" s="13"/>
    </row>
    <row r="42" spans="1:10" x14ac:dyDescent="0.2">
      <c r="B42" s="223" t="s">
        <v>73</v>
      </c>
      <c r="C42" s="210"/>
      <c r="D42" s="223" t="s">
        <v>193</v>
      </c>
      <c r="E42" s="223" t="s">
        <v>164</v>
      </c>
    </row>
    <row r="43" spans="1:10" x14ac:dyDescent="0.2">
      <c r="A43" t="str">
        <f>A39</f>
        <v>Place Funding: April 16 - August 16</v>
      </c>
      <c r="B43" s="223">
        <f>'Summary 201617'!D44</f>
        <v>110</v>
      </c>
      <c r="C43" s="210">
        <v>12</v>
      </c>
      <c r="D43" s="13">
        <f>'Summary 201617'!E44</f>
        <v>4166.666666666667</v>
      </c>
      <c r="E43" s="13">
        <f>'Summary 201617'!F44</f>
        <v>458333.33333333337</v>
      </c>
    </row>
    <row r="44" spans="1:10" x14ac:dyDescent="0.2">
      <c r="A44" t="str">
        <f>A40</f>
        <v>Place Funding: September 16 - March 17</v>
      </c>
      <c r="B44" s="223">
        <f>'Summary 201617'!D45</f>
        <v>110</v>
      </c>
      <c r="C44" s="210"/>
      <c r="D44" s="13">
        <f>'Summary 201617'!E45</f>
        <v>5833.3333333333339</v>
      </c>
      <c r="E44" s="13">
        <f>'Summary 201617'!F45</f>
        <v>641666.66666666674</v>
      </c>
    </row>
    <row r="45" spans="1:10" x14ac:dyDescent="0.2">
      <c r="D45" s="113">
        <f>'Summary 201617'!E46</f>
        <v>10000</v>
      </c>
      <c r="E45" s="113">
        <f>'Summary 201617'!F46</f>
        <v>1100000</v>
      </c>
      <c r="F45" s="183">
        <v>13</v>
      </c>
    </row>
    <row r="46" spans="1:10" x14ac:dyDescent="0.2">
      <c r="D46" s="24"/>
      <c r="E46" s="24"/>
    </row>
    <row r="47" spans="1:10" x14ac:dyDescent="0.2">
      <c r="A47" s="180"/>
      <c r="B47" s="223" t="s">
        <v>196</v>
      </c>
      <c r="C47" s="210"/>
    </row>
    <row r="48" spans="1:10" x14ac:dyDescent="0.2">
      <c r="A48" s="140" t="s">
        <v>288</v>
      </c>
      <c r="B48" s="13">
        <f>'Summary 201617'!E37</f>
        <v>16239.450377648835</v>
      </c>
      <c r="C48" s="210">
        <v>14</v>
      </c>
    </row>
    <row r="50" spans="1:6" x14ac:dyDescent="0.2">
      <c r="B50" s="223" t="str">
        <f>'Summary 201516'!D51</f>
        <v>Pupil-led</v>
      </c>
      <c r="C50" s="210"/>
      <c r="D50" s="223" t="str">
        <f>'Summary 201516'!E51</f>
        <v>Top up Value</v>
      </c>
      <c r="E50" s="223" t="str">
        <f>'Summary 201516'!F51</f>
        <v>Top up Funding</v>
      </c>
    </row>
    <row r="51" spans="1:6" x14ac:dyDescent="0.2">
      <c r="A51" s="181" t="s">
        <v>256</v>
      </c>
      <c r="B51" s="223">
        <f>'Summary 201617'!D52</f>
        <v>71.5</v>
      </c>
      <c r="C51" s="210"/>
      <c r="D51" s="13">
        <f>'Summary 201617'!E52</f>
        <v>6766.4376573536811</v>
      </c>
      <c r="E51" s="13">
        <f>'Summary 201617'!F52</f>
        <v>483800.29250078817</v>
      </c>
    </row>
    <row r="52" spans="1:6" x14ac:dyDescent="0.2">
      <c r="A52" s="181" t="s">
        <v>257</v>
      </c>
      <c r="B52" s="223">
        <f>'Summary 201617'!D53</f>
        <v>71.5</v>
      </c>
      <c r="C52" s="210"/>
      <c r="D52" s="13">
        <f>'Summary 201617'!E53</f>
        <v>9473.0127202951553</v>
      </c>
      <c r="E52" s="13">
        <f>'Summary 201617'!F53</f>
        <v>677320.40950110357</v>
      </c>
    </row>
    <row r="53" spans="1:6" x14ac:dyDescent="0.2">
      <c r="D53" s="113">
        <f>'Summary 201617'!E54</f>
        <v>16239.450377648836</v>
      </c>
      <c r="E53" s="113">
        <f>'Summary 201617'!F54</f>
        <v>1161120.7020018918</v>
      </c>
    </row>
    <row r="54" spans="1:6" x14ac:dyDescent="0.2">
      <c r="F54" s="183">
        <v>15</v>
      </c>
    </row>
    <row r="55" spans="1:6" x14ac:dyDescent="0.2">
      <c r="B55" s="223" t="str">
        <f>'Summary 201516'!D56</f>
        <v>Pupil-led</v>
      </c>
      <c r="C55" s="210"/>
      <c r="D55" s="223" t="str">
        <f>'Summary 201516'!E56</f>
        <v>Top up Value</v>
      </c>
      <c r="E55" s="223" t="str">
        <f>'Summary 201516'!F56</f>
        <v>Top up Funding</v>
      </c>
    </row>
    <row r="56" spans="1:6" x14ac:dyDescent="0.2">
      <c r="A56" s="181" t="s">
        <v>256</v>
      </c>
      <c r="B56" s="223">
        <f>'Summary 201617'!D57</f>
        <v>38.5</v>
      </c>
      <c r="C56" s="210"/>
      <c r="D56" s="13">
        <f>'Summary 201617'!E57</f>
        <v>0</v>
      </c>
      <c r="E56" s="13">
        <f>'Summary 201617'!F57</f>
        <v>0</v>
      </c>
    </row>
    <row r="57" spans="1:6" x14ac:dyDescent="0.2">
      <c r="A57" s="181" t="s">
        <v>257</v>
      </c>
      <c r="B57" s="223">
        <f>'Summary 201617'!D58</f>
        <v>38.5</v>
      </c>
      <c r="C57" s="210"/>
      <c r="D57" s="13">
        <f>'Summary 201617'!E58</f>
        <v>0</v>
      </c>
      <c r="E57" s="13">
        <f>'Summary 201617'!F58</f>
        <v>0</v>
      </c>
    </row>
    <row r="58" spans="1:6" x14ac:dyDescent="0.2">
      <c r="D58" s="113">
        <f>'Summary 201617'!E59</f>
        <v>0</v>
      </c>
      <c r="E58" s="113">
        <f>'Summary 201617'!F59</f>
        <v>0</v>
      </c>
    </row>
    <row r="59" spans="1:6" x14ac:dyDescent="0.2">
      <c r="D59" s="24"/>
      <c r="E59" s="24"/>
    </row>
    <row r="60" spans="1:6" x14ac:dyDescent="0.2">
      <c r="B60" s="182" t="str">
        <f>'Summary 201617'!D62</f>
        <v>2016/17 Indicative Place-led and Top up Funding</v>
      </c>
      <c r="C60" s="212"/>
      <c r="E60" s="116">
        <f>'Summary 201617'!F62</f>
        <v>2261120.702001892</v>
      </c>
      <c r="F60" s="183">
        <v>16</v>
      </c>
    </row>
    <row r="61" spans="1:6" x14ac:dyDescent="0.2">
      <c r="F61" s="183"/>
    </row>
    <row r="62" spans="1:6" x14ac:dyDescent="0.2">
      <c r="B62" s="163" t="s">
        <v>49</v>
      </c>
      <c r="C62" s="205"/>
      <c r="E62" s="164" t="s">
        <v>185</v>
      </c>
      <c r="F62" s="183"/>
    </row>
    <row r="63" spans="1:6" x14ac:dyDescent="0.2">
      <c r="B63" s="161" t="s">
        <v>181</v>
      </c>
      <c r="C63" s="205"/>
      <c r="E63" s="13">
        <f>270886*(5/12)</f>
        <v>112869.16666666667</v>
      </c>
      <c r="F63" s="183"/>
    </row>
    <row r="64" spans="1:6" x14ac:dyDescent="0.2">
      <c r="B64" s="161" t="s">
        <v>182</v>
      </c>
      <c r="C64" s="205"/>
      <c r="E64" s="13">
        <f>321350</f>
        <v>321350</v>
      </c>
      <c r="F64" s="183"/>
    </row>
    <row r="65" spans="1:9" x14ac:dyDescent="0.2">
      <c r="B65" s="161"/>
      <c r="C65" s="205"/>
      <c r="E65" s="166">
        <f>SUM(E63:E64)</f>
        <v>434219.16666666669</v>
      </c>
      <c r="F65" s="183"/>
    </row>
    <row r="66" spans="1:9" x14ac:dyDescent="0.2">
      <c r="E66" s="13"/>
      <c r="F66" s="183"/>
    </row>
    <row r="67" spans="1:9" x14ac:dyDescent="0.2">
      <c r="B67" s="152" t="s">
        <v>252</v>
      </c>
      <c r="C67" s="214"/>
      <c r="E67" s="116">
        <f>E60+E65</f>
        <v>2695339.8686685585</v>
      </c>
      <c r="F67" s="183">
        <v>17</v>
      </c>
    </row>
    <row r="70" spans="1:9" ht="12.75" customHeight="1" x14ac:dyDescent="0.2">
      <c r="A70" s="388" t="s">
        <v>293</v>
      </c>
      <c r="B70" s="388"/>
      <c r="C70" s="388"/>
      <c r="D70" s="388"/>
      <c r="F70" s="388" t="s">
        <v>350</v>
      </c>
      <c r="G70" s="388"/>
      <c r="H70" s="388"/>
      <c r="I70" s="388"/>
    </row>
    <row r="71" spans="1:9" x14ac:dyDescent="0.2">
      <c r="A71" s="388"/>
      <c r="B71" s="388"/>
      <c r="C71" s="388"/>
      <c r="D71" s="388"/>
      <c r="F71" s="388"/>
      <c r="G71" s="388"/>
      <c r="H71" s="388"/>
      <c r="I71" s="388"/>
    </row>
    <row r="72" spans="1:9" x14ac:dyDescent="0.2">
      <c r="A72" s="388"/>
      <c r="B72" s="388"/>
      <c r="C72" s="388"/>
      <c r="D72" s="388"/>
      <c r="F72" s="388"/>
      <c r="G72" s="388"/>
      <c r="H72" s="388"/>
      <c r="I72" s="388"/>
    </row>
    <row r="73" spans="1:9" x14ac:dyDescent="0.2">
      <c r="A73" s="388"/>
      <c r="B73" s="388"/>
      <c r="C73" s="388"/>
      <c r="D73" s="388"/>
      <c r="F73" s="388"/>
      <c r="G73" s="388"/>
      <c r="H73" s="388"/>
      <c r="I73" s="388"/>
    </row>
    <row r="74" spans="1:9" x14ac:dyDescent="0.2">
      <c r="A74" s="388"/>
      <c r="B74" s="388"/>
      <c r="C74" s="388"/>
      <c r="D74" s="388"/>
      <c r="F74" s="388"/>
      <c r="G74" s="388"/>
      <c r="H74" s="388"/>
      <c r="I74" s="388"/>
    </row>
    <row r="75" spans="1:9" x14ac:dyDescent="0.2">
      <c r="A75" s="388"/>
      <c r="B75" s="388"/>
      <c r="C75" s="388"/>
      <c r="D75" s="388"/>
      <c r="F75" s="388"/>
      <c r="G75" s="388"/>
      <c r="H75" s="388"/>
      <c r="I75" s="388"/>
    </row>
    <row r="76" spans="1:9" x14ac:dyDescent="0.2">
      <c r="A76" s="388"/>
      <c r="B76" s="388"/>
      <c r="C76" s="388"/>
      <c r="D76" s="388"/>
      <c r="F76" s="388"/>
      <c r="G76" s="388"/>
      <c r="H76" s="388"/>
      <c r="I76" s="388"/>
    </row>
    <row r="77" spans="1:9" x14ac:dyDescent="0.2">
      <c r="A77" s="388"/>
      <c r="B77" s="388"/>
      <c r="C77" s="388"/>
      <c r="D77" s="388"/>
      <c r="F77" s="388"/>
      <c r="G77" s="388"/>
      <c r="H77" s="388"/>
      <c r="I77" s="388"/>
    </row>
    <row r="78" spans="1:9" x14ac:dyDescent="0.2">
      <c r="A78" s="388"/>
      <c r="B78" s="388"/>
      <c r="C78" s="388"/>
      <c r="D78" s="388"/>
      <c r="F78" s="216"/>
      <c r="G78" s="216"/>
      <c r="H78" s="216"/>
      <c r="I78" s="216"/>
    </row>
    <row r="79" spans="1:9" x14ac:dyDescent="0.2">
      <c r="F79" s="388" t="s">
        <v>281</v>
      </c>
      <c r="G79" s="388"/>
      <c r="H79" s="388"/>
      <c r="I79" s="388"/>
    </row>
    <row r="80" spans="1:9" ht="12.75" customHeight="1" x14ac:dyDescent="0.2">
      <c r="A80" s="388" t="s">
        <v>276</v>
      </c>
      <c r="B80" s="388"/>
      <c r="C80" s="388"/>
      <c r="D80" s="388"/>
      <c r="F80" s="388"/>
      <c r="G80" s="388"/>
      <c r="H80" s="388"/>
      <c r="I80" s="388"/>
    </row>
    <row r="81" spans="1:9" x14ac:dyDescent="0.2">
      <c r="A81" s="388"/>
      <c r="B81" s="388"/>
      <c r="C81" s="388"/>
      <c r="D81" s="388"/>
      <c r="F81" s="216"/>
      <c r="G81" s="216"/>
      <c r="H81" s="216"/>
      <c r="I81" s="216"/>
    </row>
    <row r="82" spans="1:9" ht="12.75" customHeight="1" x14ac:dyDescent="0.2">
      <c r="A82" s="388"/>
      <c r="B82" s="388"/>
      <c r="C82" s="388"/>
      <c r="D82" s="388"/>
      <c r="F82" s="388" t="s">
        <v>226</v>
      </c>
      <c r="G82" s="388"/>
      <c r="H82" s="388"/>
      <c r="I82" s="388"/>
    </row>
    <row r="83" spans="1:9" x14ac:dyDescent="0.2">
      <c r="A83" s="388"/>
      <c r="B83" s="388"/>
      <c r="C83" s="388"/>
      <c r="D83" s="388"/>
      <c r="F83" s="388"/>
      <c r="G83" s="388"/>
      <c r="H83" s="388"/>
      <c r="I83" s="388"/>
    </row>
    <row r="85" spans="1:9" ht="12.75" customHeight="1" x14ac:dyDescent="0.2">
      <c r="A85" s="384" t="s">
        <v>217</v>
      </c>
      <c r="B85" s="384"/>
      <c r="C85" s="384"/>
      <c r="D85" s="384"/>
      <c r="F85" s="384" t="s">
        <v>282</v>
      </c>
      <c r="G85" s="384"/>
      <c r="H85" s="384"/>
      <c r="I85" s="384"/>
    </row>
    <row r="86" spans="1:9" x14ac:dyDescent="0.2">
      <c r="A86" s="384"/>
      <c r="B86" s="384"/>
      <c r="C86" s="384"/>
      <c r="D86" s="384"/>
      <c r="F86" s="384"/>
      <c r="G86" s="384"/>
      <c r="H86" s="384"/>
      <c r="I86" s="384"/>
    </row>
    <row r="87" spans="1:9" x14ac:dyDescent="0.2">
      <c r="F87" s="384"/>
      <c r="G87" s="384"/>
      <c r="H87" s="384"/>
      <c r="I87" s="384"/>
    </row>
    <row r="88" spans="1:9" ht="12.75" customHeight="1" x14ac:dyDescent="0.2">
      <c r="A88" s="384" t="s">
        <v>265</v>
      </c>
      <c r="B88" s="384"/>
      <c r="C88" s="384"/>
      <c r="D88" s="384"/>
      <c r="F88" s="384"/>
      <c r="G88" s="384"/>
      <c r="H88" s="384"/>
      <c r="I88" s="384"/>
    </row>
    <row r="89" spans="1:9" x14ac:dyDescent="0.2">
      <c r="A89" s="384"/>
      <c r="B89" s="384"/>
      <c r="C89" s="384"/>
      <c r="D89" s="384"/>
      <c r="F89" s="384"/>
      <c r="G89" s="384"/>
      <c r="H89" s="384"/>
      <c r="I89" s="384"/>
    </row>
    <row r="90" spans="1:9" x14ac:dyDescent="0.2">
      <c r="A90" s="384"/>
      <c r="B90" s="384"/>
      <c r="C90" s="384"/>
      <c r="D90" s="384"/>
      <c r="F90" s="384"/>
      <c r="G90" s="384"/>
      <c r="H90" s="384"/>
      <c r="I90" s="384"/>
    </row>
    <row r="91" spans="1:9" x14ac:dyDescent="0.2">
      <c r="A91" s="384"/>
      <c r="B91" s="384"/>
      <c r="C91" s="384"/>
      <c r="D91" s="384"/>
      <c r="F91" s="384"/>
      <c r="G91" s="384"/>
      <c r="H91" s="384"/>
      <c r="I91" s="384"/>
    </row>
    <row r="92" spans="1:9" x14ac:dyDescent="0.2">
      <c r="A92" s="384"/>
      <c r="B92" s="384"/>
      <c r="C92" s="384"/>
      <c r="D92" s="384"/>
      <c r="F92" s="384"/>
      <c r="G92" s="384"/>
      <c r="H92" s="384"/>
      <c r="I92" s="384"/>
    </row>
    <row r="93" spans="1:9" x14ac:dyDescent="0.2">
      <c r="A93" s="384"/>
      <c r="B93" s="384"/>
      <c r="C93" s="384"/>
      <c r="D93" s="384"/>
      <c r="F93" s="384"/>
      <c r="G93" s="384"/>
      <c r="H93" s="384"/>
      <c r="I93" s="384"/>
    </row>
    <row r="94" spans="1:9" ht="12.75" customHeight="1" x14ac:dyDescent="0.2">
      <c r="F94" s="384"/>
      <c r="G94" s="384"/>
      <c r="H94" s="384"/>
      <c r="I94" s="384"/>
    </row>
    <row r="95" spans="1:9" ht="12.75" customHeight="1" x14ac:dyDescent="0.2">
      <c r="A95" s="384" t="s">
        <v>289</v>
      </c>
      <c r="B95" s="384"/>
      <c r="C95" s="384"/>
      <c r="D95" s="384"/>
      <c r="F95" s="384"/>
      <c r="G95" s="384"/>
      <c r="H95" s="384"/>
      <c r="I95" s="384"/>
    </row>
    <row r="96" spans="1:9" x14ac:dyDescent="0.2">
      <c r="A96" s="384"/>
      <c r="B96" s="384"/>
      <c r="C96" s="384"/>
      <c r="D96" s="384"/>
      <c r="F96" s="384"/>
      <c r="G96" s="384"/>
      <c r="H96" s="384"/>
      <c r="I96" s="384"/>
    </row>
    <row r="97" spans="1:9" x14ac:dyDescent="0.2">
      <c r="A97" s="384"/>
      <c r="B97" s="384"/>
      <c r="C97" s="384"/>
      <c r="D97" s="384"/>
      <c r="F97" s="220"/>
      <c r="G97" s="220"/>
      <c r="H97" s="220"/>
      <c r="I97" s="220"/>
    </row>
    <row r="98" spans="1:9" ht="12.75" customHeight="1" x14ac:dyDescent="0.2">
      <c r="A98" s="384"/>
      <c r="B98" s="384"/>
      <c r="C98" s="384"/>
      <c r="D98" s="384"/>
      <c r="F98" s="384" t="s">
        <v>283</v>
      </c>
      <c r="G98" s="384"/>
      <c r="H98" s="384"/>
      <c r="I98" s="384"/>
    </row>
    <row r="99" spans="1:9" ht="12.75" customHeight="1" x14ac:dyDescent="0.2">
      <c r="A99" s="384"/>
      <c r="B99" s="384"/>
      <c r="C99" s="384"/>
      <c r="D99" s="384"/>
      <c r="F99" s="384"/>
      <c r="G99" s="384"/>
      <c r="H99" s="384"/>
      <c r="I99" s="384"/>
    </row>
    <row r="100" spans="1:9" x14ac:dyDescent="0.2">
      <c r="A100" s="384"/>
      <c r="B100" s="384"/>
      <c r="C100" s="384"/>
      <c r="D100" s="384"/>
      <c r="F100" s="384"/>
      <c r="G100" s="384"/>
      <c r="H100" s="384"/>
      <c r="I100" s="384"/>
    </row>
    <row r="101" spans="1:9" x14ac:dyDescent="0.2">
      <c r="A101" s="384"/>
      <c r="B101" s="384"/>
      <c r="C101" s="384"/>
      <c r="D101" s="384"/>
      <c r="F101" s="384"/>
      <c r="G101" s="384"/>
      <c r="H101" s="384"/>
      <c r="I101" s="384"/>
    </row>
    <row r="102" spans="1:9" x14ac:dyDescent="0.2">
      <c r="A102" s="384"/>
      <c r="B102" s="384"/>
      <c r="C102" s="384"/>
      <c r="D102" s="384"/>
      <c r="F102" s="384"/>
      <c r="G102" s="384"/>
      <c r="H102" s="384"/>
      <c r="I102" s="384"/>
    </row>
    <row r="103" spans="1:9" x14ac:dyDescent="0.2">
      <c r="A103" s="220"/>
      <c r="B103" s="220"/>
      <c r="C103" s="220"/>
      <c r="D103" s="220"/>
      <c r="F103" s="384"/>
      <c r="G103" s="384"/>
      <c r="H103" s="384"/>
      <c r="I103" s="384"/>
    </row>
    <row r="104" spans="1:9" x14ac:dyDescent="0.2">
      <c r="A104" s="384" t="s">
        <v>278</v>
      </c>
      <c r="B104" s="384"/>
      <c r="C104" s="384"/>
      <c r="D104" s="384"/>
      <c r="F104" s="384"/>
      <c r="G104" s="384"/>
      <c r="H104" s="384"/>
      <c r="I104" s="384"/>
    </row>
    <row r="105" spans="1:9" x14ac:dyDescent="0.2">
      <c r="A105" s="384"/>
      <c r="B105" s="384"/>
      <c r="C105" s="384"/>
      <c r="D105" s="384"/>
      <c r="F105" s="384"/>
      <c r="G105" s="384"/>
      <c r="H105" s="384"/>
      <c r="I105" s="384"/>
    </row>
    <row r="106" spans="1:9" x14ac:dyDescent="0.2">
      <c r="A106" s="384"/>
      <c r="B106" s="384"/>
      <c r="C106" s="384"/>
      <c r="D106" s="384"/>
      <c r="F106" s="384"/>
      <c r="G106" s="384"/>
      <c r="H106" s="384"/>
      <c r="I106" s="384"/>
    </row>
    <row r="107" spans="1:9" x14ac:dyDescent="0.2">
      <c r="A107" s="220"/>
      <c r="B107" s="220"/>
      <c r="C107" s="220"/>
      <c r="D107" s="220"/>
      <c r="F107" s="384"/>
      <c r="G107" s="384"/>
      <c r="H107" s="384"/>
      <c r="I107" s="384"/>
    </row>
    <row r="108" spans="1:9" x14ac:dyDescent="0.2">
      <c r="A108" s="388" t="s">
        <v>279</v>
      </c>
      <c r="B108" s="388"/>
      <c r="C108" s="388"/>
      <c r="D108" s="388"/>
      <c r="F108" s="384"/>
      <c r="G108" s="384"/>
      <c r="H108" s="384"/>
      <c r="I108" s="384"/>
    </row>
    <row r="109" spans="1:9" x14ac:dyDescent="0.2">
      <c r="A109" s="388"/>
      <c r="B109" s="388"/>
      <c r="C109" s="388"/>
      <c r="D109" s="388"/>
      <c r="F109" s="384"/>
      <c r="G109" s="384"/>
      <c r="H109" s="384"/>
      <c r="I109" s="384"/>
    </row>
    <row r="110" spans="1:9" ht="12.75" customHeight="1" x14ac:dyDescent="0.2">
      <c r="B110" s="220"/>
      <c r="C110" s="220"/>
      <c r="D110" s="220"/>
      <c r="F110" s="384"/>
      <c r="G110" s="384"/>
      <c r="H110" s="384"/>
      <c r="I110" s="384"/>
    </row>
    <row r="111" spans="1:9" ht="12.75" customHeight="1" x14ac:dyDescent="0.2">
      <c r="A111" s="384" t="s">
        <v>292</v>
      </c>
      <c r="B111" s="384"/>
      <c r="C111" s="384"/>
      <c r="D111" s="384"/>
      <c r="F111" s="384"/>
      <c r="G111" s="384"/>
      <c r="H111" s="384"/>
      <c r="I111" s="384"/>
    </row>
    <row r="112" spans="1:9" x14ac:dyDescent="0.2">
      <c r="A112" s="384"/>
      <c r="B112" s="384"/>
      <c r="C112" s="384"/>
      <c r="D112" s="384"/>
      <c r="F112" s="220"/>
      <c r="G112" s="220"/>
      <c r="H112" s="220"/>
      <c r="I112" s="220"/>
    </row>
    <row r="113" spans="1:9" x14ac:dyDescent="0.2">
      <c r="A113" s="384"/>
      <c r="B113" s="384"/>
      <c r="C113" s="384"/>
      <c r="D113" s="384"/>
      <c r="F113" s="384" t="s">
        <v>284</v>
      </c>
      <c r="G113" s="384"/>
      <c r="H113" s="384"/>
      <c r="I113" s="384"/>
    </row>
    <row r="114" spans="1:9" x14ac:dyDescent="0.2">
      <c r="A114" s="384"/>
      <c r="B114" s="384"/>
      <c r="C114" s="384"/>
      <c r="D114" s="384"/>
      <c r="F114" s="384"/>
      <c r="G114" s="384"/>
      <c r="H114" s="384"/>
      <c r="I114" s="384"/>
    </row>
    <row r="115" spans="1:9" ht="12.75" customHeight="1" x14ac:dyDescent="0.2">
      <c r="A115" s="384"/>
      <c r="B115" s="384"/>
      <c r="C115" s="384"/>
      <c r="D115" s="384"/>
      <c r="F115" s="384"/>
      <c r="G115" s="384"/>
      <c r="H115" s="384"/>
      <c r="I115" s="384"/>
    </row>
    <row r="116" spans="1:9" ht="12.75" customHeight="1" x14ac:dyDescent="0.2">
      <c r="A116" s="384"/>
      <c r="B116" s="384"/>
      <c r="C116" s="384"/>
      <c r="D116" s="384"/>
    </row>
    <row r="117" spans="1:9" ht="12.75" customHeight="1" x14ac:dyDescent="0.2">
      <c r="A117" s="220"/>
      <c r="B117" s="220"/>
      <c r="C117" s="220"/>
      <c r="D117" s="220"/>
      <c r="F117" s="384" t="s">
        <v>285</v>
      </c>
      <c r="G117" s="384"/>
      <c r="H117" s="384"/>
      <c r="I117" s="384"/>
    </row>
    <row r="118" spans="1:9" ht="12.75" customHeight="1" x14ac:dyDescent="0.2">
      <c r="A118" s="384" t="s">
        <v>341</v>
      </c>
      <c r="B118" s="384"/>
      <c r="C118" s="384"/>
      <c r="D118" s="384"/>
      <c r="F118" s="384"/>
      <c r="G118" s="384"/>
      <c r="H118" s="384"/>
      <c r="I118" s="384"/>
    </row>
    <row r="119" spans="1:9" ht="12.75" customHeight="1" x14ac:dyDescent="0.2">
      <c r="A119" s="384"/>
      <c r="B119" s="384"/>
      <c r="C119" s="384"/>
      <c r="D119" s="384"/>
      <c r="F119" s="384"/>
      <c r="G119" s="384"/>
      <c r="H119" s="384"/>
      <c r="I119" s="384"/>
    </row>
    <row r="120" spans="1:9" x14ac:dyDescent="0.2">
      <c r="A120" s="384"/>
      <c r="B120" s="384"/>
      <c r="C120" s="384"/>
      <c r="D120" s="384"/>
      <c r="F120" s="220"/>
      <c r="G120" s="220"/>
      <c r="H120" s="220"/>
      <c r="I120" s="220"/>
    </row>
    <row r="121" spans="1:9" x14ac:dyDescent="0.2">
      <c r="A121" s="384"/>
      <c r="B121" s="384"/>
      <c r="C121" s="384"/>
      <c r="D121" s="384"/>
    </row>
    <row r="122" spans="1:9" ht="12.75" customHeight="1" x14ac:dyDescent="0.2">
      <c r="G122" s="220"/>
      <c r="H122" s="220"/>
      <c r="I122" s="220"/>
    </row>
    <row r="123" spans="1:9" x14ac:dyDescent="0.2">
      <c r="A123" s="384" t="s">
        <v>280</v>
      </c>
      <c r="B123" s="384"/>
      <c r="C123" s="384"/>
      <c r="D123" s="384"/>
      <c r="F123" s="220"/>
      <c r="G123" s="220"/>
      <c r="H123" s="220"/>
      <c r="I123" s="220"/>
    </row>
    <row r="124" spans="1:9" x14ac:dyDescent="0.2">
      <c r="A124" s="384"/>
      <c r="B124" s="384"/>
      <c r="C124" s="384"/>
      <c r="D124" s="384"/>
      <c r="F124" s="220"/>
      <c r="G124" s="220"/>
      <c r="H124" s="220"/>
      <c r="I124" s="220"/>
    </row>
    <row r="125" spans="1:9" x14ac:dyDescent="0.2">
      <c r="A125" s="384"/>
      <c r="B125" s="384"/>
      <c r="C125" s="384"/>
      <c r="D125" s="384"/>
      <c r="F125" s="220"/>
      <c r="G125" s="220"/>
      <c r="H125" s="220"/>
      <c r="I125" s="220"/>
    </row>
    <row r="126" spans="1:9" x14ac:dyDescent="0.2">
      <c r="F126" s="224"/>
      <c r="G126" s="224"/>
      <c r="H126" s="224"/>
      <c r="I126" s="224"/>
    </row>
    <row r="127" spans="1:9" x14ac:dyDescent="0.2">
      <c r="F127" s="224"/>
      <c r="G127" s="224"/>
      <c r="H127" s="224"/>
      <c r="I127" s="224"/>
    </row>
  </sheetData>
  <mergeCells count="19">
    <mergeCell ref="A123:D125"/>
    <mergeCell ref="A88:D93"/>
    <mergeCell ref="A85:D86"/>
    <mergeCell ref="A95:D102"/>
    <mergeCell ref="A104:D106"/>
    <mergeCell ref="A108:D109"/>
    <mergeCell ref="A111:D116"/>
    <mergeCell ref="A118:D121"/>
    <mergeCell ref="F98:I111"/>
    <mergeCell ref="F113:I115"/>
    <mergeCell ref="F117:I119"/>
    <mergeCell ref="A17:B17"/>
    <mergeCell ref="A35:I36"/>
    <mergeCell ref="A70:D78"/>
    <mergeCell ref="A80:D83"/>
    <mergeCell ref="F82:I83"/>
    <mergeCell ref="F70:I77"/>
    <mergeCell ref="F79:I80"/>
    <mergeCell ref="F85:I96"/>
  </mergeCells>
  <pageMargins left="0.70866141732283472" right="0.70866141732283472" top="0.74803149606299213" bottom="0.74803149606299213" header="0.31496062992125984" footer="0.31496062992125984"/>
  <pageSetup paperSize="9" scale="55" orientation="landscape" r:id="rId1"/>
  <headerFooter>
    <oddHeader>&amp;CLincolnshire County Council</oddHeader>
    <oddFooter>&amp;C2016/17 LTLC &amp; Sol 4 Budget Shares
LTLC Budget 2016/17</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109"/>
  <sheetViews>
    <sheetView topLeftCell="A4" zoomScale="85" zoomScaleNormal="85" workbookViewId="0">
      <selection activeCell="D47" sqref="D47"/>
    </sheetView>
  </sheetViews>
  <sheetFormatPr defaultRowHeight="12.75" x14ac:dyDescent="0.2"/>
  <cols>
    <col min="1" max="1" width="50" customWidth="1"/>
    <col min="2" max="2" width="27.7109375" customWidth="1"/>
    <col min="3" max="3" width="3.42578125" customWidth="1"/>
    <col min="4" max="5" width="25.7109375" customWidth="1"/>
    <col min="6" max="6" width="37.7109375" customWidth="1"/>
    <col min="7" max="7" width="40.7109375" customWidth="1"/>
  </cols>
  <sheetData>
    <row r="1" spans="1:9" ht="18" x14ac:dyDescent="0.25">
      <c r="A1" s="165" t="s">
        <v>250</v>
      </c>
    </row>
    <row r="3" spans="1:9" ht="33.75" customHeight="1" x14ac:dyDescent="0.2">
      <c r="A3" s="157" t="s">
        <v>205</v>
      </c>
      <c r="B3" s="242" t="s">
        <v>305</v>
      </c>
      <c r="C3" s="158"/>
      <c r="E3">
        <v>2</v>
      </c>
      <c r="F3" s="155" t="s">
        <v>174</v>
      </c>
      <c r="G3" s="155" t="s">
        <v>175</v>
      </c>
      <c r="H3" s="187"/>
      <c r="I3" s="65"/>
    </row>
    <row r="4" spans="1:9" x14ac:dyDescent="0.2">
      <c r="A4" s="146" t="s">
        <v>34</v>
      </c>
      <c r="B4" s="130">
        <f>('Solutions 4'!H7+'Solutions 4'!H18)*5/12</f>
        <v>117804.16666666667</v>
      </c>
      <c r="C4" s="130"/>
      <c r="F4" s="174" t="s">
        <v>206</v>
      </c>
      <c r="G4" s="193" t="s">
        <v>138</v>
      </c>
      <c r="H4" s="77"/>
      <c r="I4" s="65"/>
    </row>
    <row r="5" spans="1:9" x14ac:dyDescent="0.2">
      <c r="A5" s="146" t="s">
        <v>35</v>
      </c>
      <c r="B5" s="130">
        <f>('Solutions 4'!H22)*5/12</f>
        <v>10333.333333333334</v>
      </c>
      <c r="C5" s="130"/>
      <c r="F5" s="191" t="s">
        <v>115</v>
      </c>
      <c r="G5" s="189"/>
      <c r="H5" s="77"/>
      <c r="I5" s="65"/>
    </row>
    <row r="6" spans="1:9" x14ac:dyDescent="0.2">
      <c r="A6" s="146"/>
      <c r="B6" s="159">
        <f>SUM(B4:B5)</f>
        <v>128137.5</v>
      </c>
      <c r="C6" s="238">
        <v>1</v>
      </c>
      <c r="D6" s="183"/>
      <c r="F6" s="192" t="s">
        <v>207</v>
      </c>
      <c r="G6" s="189"/>
      <c r="H6" s="77"/>
      <c r="I6" s="65"/>
    </row>
    <row r="7" spans="1:9" x14ac:dyDescent="0.2">
      <c r="B7" s="130"/>
      <c r="C7" s="238"/>
      <c r="D7" s="183"/>
      <c r="F7" s="191" t="s">
        <v>121</v>
      </c>
      <c r="G7" s="189"/>
      <c r="H7" s="77"/>
      <c r="I7" s="65"/>
    </row>
    <row r="8" spans="1:9" x14ac:dyDescent="0.2">
      <c r="A8" s="256" t="s">
        <v>169</v>
      </c>
      <c r="B8" s="130"/>
      <c r="C8" s="240"/>
      <c r="D8" s="183"/>
      <c r="F8" s="191" t="s">
        <v>123</v>
      </c>
      <c r="G8" s="189"/>
      <c r="H8" s="77"/>
      <c r="I8" s="65"/>
    </row>
    <row r="9" spans="1:9" x14ac:dyDescent="0.2">
      <c r="A9" t="s">
        <v>294</v>
      </c>
      <c r="B9" s="13">
        <f>'Sol4 201617'!H29</f>
        <v>397219.20000000007</v>
      </c>
      <c r="C9" s="238">
        <v>3</v>
      </c>
      <c r="D9" s="183"/>
      <c r="F9" s="191" t="s">
        <v>125</v>
      </c>
      <c r="G9" s="189"/>
      <c r="H9" s="77"/>
      <c r="I9" s="65"/>
    </row>
    <row r="10" spans="1:9" x14ac:dyDescent="0.2">
      <c r="A10" t="s">
        <v>295</v>
      </c>
      <c r="B10" s="13">
        <f>'Sol4 201617'!H30</f>
        <v>119066.40000000002</v>
      </c>
      <c r="C10" s="238"/>
      <c r="D10" s="183"/>
      <c r="F10" s="192" t="s">
        <v>20</v>
      </c>
      <c r="G10" s="189"/>
      <c r="H10" s="77"/>
      <c r="I10" s="65"/>
    </row>
    <row r="11" spans="1:9" x14ac:dyDescent="0.2">
      <c r="A11" s="147"/>
      <c r="C11" s="238"/>
      <c r="D11" s="183"/>
      <c r="F11" s="191" t="s">
        <v>129</v>
      </c>
      <c r="G11" s="189"/>
      <c r="H11" s="77"/>
      <c r="I11" s="65"/>
    </row>
    <row r="12" spans="1:9" x14ac:dyDescent="0.2">
      <c r="A12" s="391" t="s">
        <v>307</v>
      </c>
      <c r="B12" s="199">
        <f>B6+B9+B10</f>
        <v>644423.10000000009</v>
      </c>
      <c r="C12" s="238">
        <v>4</v>
      </c>
      <c r="D12" s="183"/>
      <c r="F12" s="191" t="s">
        <v>129</v>
      </c>
      <c r="G12" s="189"/>
      <c r="H12" s="77"/>
      <c r="I12" s="65"/>
    </row>
    <row r="13" spans="1:9" x14ac:dyDescent="0.2">
      <c r="A13" s="391"/>
      <c r="B13" s="198"/>
      <c r="C13" s="238"/>
      <c r="D13" s="183"/>
      <c r="F13" s="191" t="s">
        <v>131</v>
      </c>
      <c r="G13" s="189"/>
      <c r="H13" s="77"/>
      <c r="I13" s="65"/>
    </row>
    <row r="14" spans="1:9" ht="13.5" thickBot="1" x14ac:dyDescent="0.25">
      <c r="C14" s="238"/>
      <c r="D14" s="183"/>
      <c r="G14" s="189"/>
      <c r="H14" s="77"/>
      <c r="I14" s="65"/>
    </row>
    <row r="15" spans="1:9" x14ac:dyDescent="0.2">
      <c r="A15" s="148" t="s">
        <v>268</v>
      </c>
      <c r="B15" s="149" t="s">
        <v>73</v>
      </c>
      <c r="C15" s="238">
        <v>5</v>
      </c>
      <c r="D15" s="183"/>
      <c r="G15" s="189"/>
      <c r="H15" s="77"/>
      <c r="I15" s="65"/>
    </row>
    <row r="16" spans="1:9" x14ac:dyDescent="0.2">
      <c r="A16" s="172" t="s">
        <v>294</v>
      </c>
      <c r="B16" s="245">
        <v>112</v>
      </c>
      <c r="C16" s="238"/>
      <c r="D16" s="183"/>
      <c r="G16" s="189"/>
      <c r="H16" s="77"/>
      <c r="I16" s="65"/>
    </row>
    <row r="17" spans="1:9" x14ac:dyDescent="0.2">
      <c r="A17" s="172" t="s">
        <v>295</v>
      </c>
      <c r="B17" s="245">
        <v>30</v>
      </c>
      <c r="C17" s="238"/>
      <c r="D17" s="183"/>
      <c r="G17" s="189"/>
      <c r="H17" s="77"/>
      <c r="I17" s="65"/>
    </row>
    <row r="18" spans="1:9" ht="13.5" thickBot="1" x14ac:dyDescent="0.25">
      <c r="A18" s="244" t="s">
        <v>306</v>
      </c>
      <c r="B18" s="243">
        <f>SUM(B16:B17)</f>
        <v>142</v>
      </c>
      <c r="C18" s="238"/>
      <c r="D18" s="183"/>
      <c r="G18" s="189"/>
      <c r="H18" s="77"/>
      <c r="I18" s="65"/>
    </row>
    <row r="19" spans="1:9" ht="13.5" thickBot="1" x14ac:dyDescent="0.25">
      <c r="C19" s="238"/>
      <c r="D19" s="183"/>
      <c r="F19" s="190"/>
      <c r="G19" s="189"/>
      <c r="H19" s="77"/>
      <c r="I19" s="65"/>
    </row>
    <row r="20" spans="1:9" x14ac:dyDescent="0.2">
      <c r="A20" s="170" t="s">
        <v>177</v>
      </c>
      <c r="B20" s="171" t="s">
        <v>304</v>
      </c>
      <c r="C20" s="238">
        <v>6</v>
      </c>
      <c r="D20" s="183"/>
      <c r="F20" s="190"/>
      <c r="G20" s="188"/>
      <c r="H20" s="77"/>
      <c r="I20" s="65"/>
    </row>
    <row r="21" spans="1:9" x14ac:dyDescent="0.2">
      <c r="A21" s="172" t="s">
        <v>294</v>
      </c>
      <c r="B21" s="173">
        <f>'Sol4 201617'!D29</f>
        <v>10023</v>
      </c>
      <c r="C21" s="238"/>
      <c r="D21" s="183"/>
      <c r="F21" s="190"/>
      <c r="G21" s="76"/>
      <c r="H21" s="77"/>
      <c r="I21" s="65"/>
    </row>
    <row r="22" spans="1:9" ht="13.5" thickBot="1" x14ac:dyDescent="0.25">
      <c r="A22" s="177" t="s">
        <v>295</v>
      </c>
      <c r="B22" s="194">
        <f>'Sol4 201617'!D30</f>
        <v>11216.400000000001</v>
      </c>
      <c r="C22" s="238"/>
      <c r="D22" s="183"/>
      <c r="F22" s="190"/>
      <c r="G22" s="76"/>
      <c r="H22" s="77"/>
      <c r="I22" s="65"/>
    </row>
    <row r="23" spans="1:9" ht="13.5" thickBot="1" x14ac:dyDescent="0.25"/>
    <row r="24" spans="1:9" ht="13.5" thickBot="1" x14ac:dyDescent="0.25">
      <c r="A24" s="254" t="s">
        <v>326</v>
      </c>
      <c r="B24" s="255">
        <f>'Sol4 201617'!N31</f>
        <v>12440.830985915492</v>
      </c>
      <c r="C24">
        <v>7</v>
      </c>
    </row>
    <row r="25" spans="1:9" x14ac:dyDescent="0.2">
      <c r="A25" s="257"/>
      <c r="B25" s="167"/>
    </row>
    <row r="26" spans="1:9" x14ac:dyDescent="0.2">
      <c r="A26" s="257"/>
      <c r="B26" s="167"/>
    </row>
    <row r="27" spans="1:9" ht="13.5" thickBot="1" x14ac:dyDescent="0.25">
      <c r="A27" s="19"/>
      <c r="B27" s="19"/>
      <c r="C27" s="19"/>
      <c r="D27" s="19"/>
      <c r="E27" s="19"/>
      <c r="F27" s="19"/>
      <c r="G27" s="19"/>
      <c r="H27" s="19"/>
      <c r="I27" s="19"/>
    </row>
    <row r="28" spans="1:9" x14ac:dyDescent="0.2">
      <c r="A28" s="65"/>
      <c r="B28" s="65"/>
      <c r="C28" s="65"/>
      <c r="D28" s="65"/>
      <c r="E28" s="65"/>
      <c r="F28" s="65"/>
      <c r="G28" s="65"/>
      <c r="H28" s="65"/>
      <c r="I28" s="65"/>
    </row>
    <row r="29" spans="1:9" x14ac:dyDescent="0.2">
      <c r="A29" s="65"/>
      <c r="B29" s="65"/>
      <c r="C29" s="65"/>
      <c r="D29" s="65"/>
      <c r="E29" s="65"/>
      <c r="F29" s="65"/>
      <c r="G29" s="65"/>
      <c r="H29" s="65"/>
      <c r="I29" s="65"/>
    </row>
    <row r="30" spans="1:9" x14ac:dyDescent="0.2">
      <c r="A30" s="65"/>
      <c r="B30" s="65"/>
      <c r="C30" s="65"/>
      <c r="D30" s="65"/>
      <c r="E30" s="65"/>
      <c r="F30" s="65"/>
      <c r="G30" s="65"/>
      <c r="H30" s="65"/>
      <c r="I30" s="65"/>
    </row>
    <row r="31" spans="1:9" ht="18" x14ac:dyDescent="0.25">
      <c r="A31" s="165" t="s">
        <v>253</v>
      </c>
    </row>
    <row r="33" spans="1:9" ht="12.75" customHeight="1" x14ac:dyDescent="0.2">
      <c r="A33" s="385" t="s">
        <v>286</v>
      </c>
      <c r="B33" s="385"/>
      <c r="C33" s="385"/>
      <c r="D33" s="385"/>
      <c r="E33" s="385"/>
      <c r="F33" s="385"/>
      <c r="G33" s="385"/>
      <c r="H33" s="385"/>
      <c r="I33" s="195"/>
    </row>
    <row r="34" spans="1:9" x14ac:dyDescent="0.2">
      <c r="A34" s="385"/>
      <c r="B34" s="385"/>
      <c r="C34" s="385"/>
      <c r="D34" s="385"/>
      <c r="E34" s="385"/>
      <c r="F34" s="385"/>
      <c r="G34" s="385"/>
      <c r="H34" s="385"/>
      <c r="I34" s="195"/>
    </row>
    <row r="36" spans="1:9" x14ac:dyDescent="0.2">
      <c r="B36" s="238" t="s">
        <v>314</v>
      </c>
      <c r="C36" s="238"/>
      <c r="E36" s="238"/>
    </row>
    <row r="37" spans="1:9" x14ac:dyDescent="0.2">
      <c r="A37" t="s">
        <v>254</v>
      </c>
      <c r="B37" s="13">
        <v>10000</v>
      </c>
      <c r="C37" s="219">
        <v>8</v>
      </c>
      <c r="D37" s="218"/>
      <c r="E37" s="13"/>
    </row>
    <row r="38" spans="1:9" x14ac:dyDescent="0.2">
      <c r="B38" s="13"/>
      <c r="C38" s="13"/>
      <c r="D38" s="13"/>
      <c r="E38" s="13"/>
    </row>
    <row r="39" spans="1:9" x14ac:dyDescent="0.2">
      <c r="B39" s="238" t="s">
        <v>73</v>
      </c>
      <c r="C39" s="238"/>
      <c r="D39" s="238" t="s">
        <v>193</v>
      </c>
      <c r="E39" s="238" t="s">
        <v>164</v>
      </c>
    </row>
    <row r="40" spans="1:9" x14ac:dyDescent="0.2">
      <c r="A40" t="s">
        <v>254</v>
      </c>
      <c r="B40" s="238">
        <v>142</v>
      </c>
      <c r="C40" s="219">
        <v>9</v>
      </c>
      <c r="D40" s="13">
        <f>B37*(5/12)</f>
        <v>4166.666666666667</v>
      </c>
      <c r="E40" s="13">
        <f>'Sol4 201617'!F37</f>
        <v>591666.66666666663</v>
      </c>
    </row>
    <row r="41" spans="1:9" x14ac:dyDescent="0.2">
      <c r="D41" s="113">
        <f>SUM(D40:D40)</f>
        <v>4166.666666666667</v>
      </c>
      <c r="E41" s="113">
        <f>SUM(E40:E40)</f>
        <v>591666.66666666663</v>
      </c>
      <c r="F41" s="218">
        <v>10</v>
      </c>
    </row>
    <row r="42" spans="1:9" x14ac:dyDescent="0.2">
      <c r="D42" s="24"/>
      <c r="E42" s="24"/>
    </row>
    <row r="43" spans="1:9" x14ac:dyDescent="0.2">
      <c r="A43" s="180"/>
      <c r="B43" s="238" t="s">
        <v>64</v>
      </c>
      <c r="C43" s="238"/>
    </row>
    <row r="44" spans="1:9" x14ac:dyDescent="0.2">
      <c r="A44" s="140" t="s">
        <v>325</v>
      </c>
      <c r="B44" s="13">
        <f>'Sol4 201617'!H42</f>
        <v>527.56433333333462</v>
      </c>
      <c r="C44" s="219">
        <v>11</v>
      </c>
    </row>
    <row r="46" spans="1:9" x14ac:dyDescent="0.2">
      <c r="B46" s="238" t="str">
        <f>'Summary 201516'!D51</f>
        <v>Pupil-led</v>
      </c>
      <c r="C46" s="238"/>
      <c r="D46" s="238" t="str">
        <f>'Summary 201516'!E51</f>
        <v>Top up Value</v>
      </c>
      <c r="E46" s="238" t="str">
        <f>'Summary 201516'!F51</f>
        <v>Top up Funding</v>
      </c>
    </row>
    <row r="47" spans="1:9" x14ac:dyDescent="0.2">
      <c r="A47" s="181" t="s">
        <v>256</v>
      </c>
      <c r="B47" s="238">
        <f>'Sol4 201617'!G42</f>
        <v>100</v>
      </c>
      <c r="C47" s="238">
        <v>12</v>
      </c>
      <c r="D47" s="13">
        <f>'Sol4 201617'!H42</f>
        <v>527.56433333333462</v>
      </c>
      <c r="E47" s="13">
        <f>'Sol4 201617'!B42</f>
        <v>52756.433333333465</v>
      </c>
    </row>
    <row r="48" spans="1:9" x14ac:dyDescent="0.2">
      <c r="A48" s="181" t="s">
        <v>256</v>
      </c>
      <c r="B48" s="238">
        <v>42</v>
      </c>
      <c r="C48" s="238"/>
      <c r="D48" s="13">
        <v>0</v>
      </c>
      <c r="E48" s="13">
        <v>0</v>
      </c>
    </row>
    <row r="49" spans="1:7" x14ac:dyDescent="0.2">
      <c r="D49" s="113">
        <f>SUM(D47:D48)</f>
        <v>527.56433333333462</v>
      </c>
      <c r="E49" s="113">
        <f>SUM(E47:E48)</f>
        <v>52756.433333333465</v>
      </c>
      <c r="F49" s="183">
        <v>13</v>
      </c>
    </row>
    <row r="50" spans="1:7" x14ac:dyDescent="0.2">
      <c r="F50" s="183"/>
    </row>
    <row r="51" spans="1:7" x14ac:dyDescent="0.2">
      <c r="F51" s="183"/>
    </row>
    <row r="52" spans="1:7" x14ac:dyDescent="0.2">
      <c r="B52" s="182" t="s">
        <v>258</v>
      </c>
      <c r="C52" s="182"/>
      <c r="E52" s="116">
        <f>E41+E49</f>
        <v>644423.10000000009</v>
      </c>
      <c r="F52" s="183">
        <v>14</v>
      </c>
    </row>
    <row r="55" spans="1:7" ht="12.75" customHeight="1" x14ac:dyDescent="0.2">
      <c r="A55" s="384" t="s">
        <v>331</v>
      </c>
      <c r="B55" s="384"/>
      <c r="C55" s="384"/>
      <c r="D55" s="384"/>
      <c r="E55" s="384"/>
      <c r="F55" s="384"/>
      <c r="G55" s="384"/>
    </row>
    <row r="56" spans="1:7" x14ac:dyDescent="0.2">
      <c r="A56" s="384"/>
      <c r="B56" s="384"/>
      <c r="C56" s="384"/>
      <c r="D56" s="384"/>
      <c r="E56" s="384"/>
      <c r="F56" s="384"/>
      <c r="G56" s="384"/>
    </row>
    <row r="57" spans="1:7" x14ac:dyDescent="0.2">
      <c r="A57" s="384"/>
      <c r="B57" s="384"/>
      <c r="C57" s="384"/>
      <c r="D57" s="384"/>
      <c r="E57" s="384"/>
      <c r="F57" s="384"/>
      <c r="G57" s="384"/>
    </row>
    <row r="58" spans="1:7" x14ac:dyDescent="0.2">
      <c r="A58" s="384"/>
      <c r="B58" s="384"/>
      <c r="C58" s="384"/>
      <c r="D58" s="384"/>
      <c r="E58" s="384"/>
      <c r="F58" s="384"/>
      <c r="G58" s="384"/>
    </row>
    <row r="59" spans="1:7" x14ac:dyDescent="0.2">
      <c r="A59" s="220"/>
      <c r="B59" s="220"/>
      <c r="C59" s="220"/>
      <c r="D59" s="220"/>
      <c r="E59" s="220"/>
      <c r="F59" s="220"/>
      <c r="G59" s="220"/>
    </row>
    <row r="60" spans="1:7" ht="12.75" customHeight="1" x14ac:dyDescent="0.2">
      <c r="A60" s="384" t="s">
        <v>332</v>
      </c>
      <c r="B60" s="384"/>
      <c r="C60" s="384"/>
      <c r="D60" s="384"/>
      <c r="E60" s="384"/>
      <c r="F60" s="384"/>
      <c r="G60" s="384"/>
    </row>
    <row r="61" spans="1:7" x14ac:dyDescent="0.2">
      <c r="A61" s="384"/>
      <c r="B61" s="384"/>
      <c r="C61" s="384"/>
      <c r="D61" s="384"/>
      <c r="E61" s="384"/>
      <c r="F61" s="384"/>
      <c r="G61" s="384"/>
    </row>
    <row r="62" spans="1:7" ht="12.75" customHeight="1" x14ac:dyDescent="0.2">
      <c r="A62" s="384"/>
      <c r="B62" s="384"/>
      <c r="C62" s="384"/>
      <c r="D62" s="384"/>
      <c r="E62" s="384"/>
      <c r="F62" s="384"/>
      <c r="G62" s="384"/>
    </row>
    <row r="63" spans="1:7" x14ac:dyDescent="0.2">
      <c r="A63" s="384"/>
      <c r="B63" s="384"/>
      <c r="C63" s="384"/>
      <c r="D63" s="384"/>
      <c r="E63" s="384"/>
      <c r="F63" s="384"/>
      <c r="G63" s="384"/>
    </row>
    <row r="64" spans="1:7" x14ac:dyDescent="0.2">
      <c r="A64" s="239"/>
      <c r="B64" s="239"/>
      <c r="C64" s="239"/>
      <c r="D64" s="239"/>
      <c r="E64" s="239"/>
    </row>
    <row r="65" spans="1:7" ht="12.75" customHeight="1" x14ac:dyDescent="0.2">
      <c r="A65" s="384" t="s">
        <v>340</v>
      </c>
      <c r="B65" s="384"/>
      <c r="C65" s="384"/>
      <c r="D65" s="384"/>
      <c r="E65" s="384"/>
      <c r="F65" s="384"/>
      <c r="G65" s="384"/>
    </row>
    <row r="66" spans="1:7" x14ac:dyDescent="0.2">
      <c r="A66" s="384"/>
      <c r="B66" s="384"/>
      <c r="C66" s="384"/>
      <c r="D66" s="384"/>
      <c r="E66" s="384"/>
      <c r="F66" s="384"/>
      <c r="G66" s="384"/>
    </row>
    <row r="67" spans="1:7" x14ac:dyDescent="0.2">
      <c r="A67" s="384"/>
      <c r="B67" s="384"/>
      <c r="C67" s="384"/>
      <c r="D67" s="384"/>
      <c r="E67" s="384"/>
      <c r="F67" s="384"/>
      <c r="G67" s="384"/>
    </row>
    <row r="68" spans="1:7" ht="12.75" customHeight="1" x14ac:dyDescent="0.2">
      <c r="A68" s="220"/>
      <c r="B68" s="220"/>
      <c r="C68" s="220"/>
      <c r="D68" s="220"/>
      <c r="E68" s="220"/>
      <c r="F68" s="220"/>
      <c r="G68" s="220"/>
    </row>
    <row r="69" spans="1:7" x14ac:dyDescent="0.2">
      <c r="A69" s="384" t="s">
        <v>330</v>
      </c>
      <c r="B69" s="384"/>
      <c r="C69" s="384"/>
      <c r="D69" s="384"/>
      <c r="E69" s="384"/>
      <c r="F69" s="384"/>
      <c r="G69" s="384"/>
    </row>
    <row r="70" spans="1:7" x14ac:dyDescent="0.2">
      <c r="A70" s="384"/>
      <c r="B70" s="384"/>
      <c r="C70" s="384"/>
      <c r="D70" s="384"/>
      <c r="E70" s="384"/>
      <c r="F70" s="384"/>
      <c r="G70" s="384"/>
    </row>
    <row r="71" spans="1:7" x14ac:dyDescent="0.2">
      <c r="A71" s="221"/>
      <c r="B71" s="221"/>
      <c r="C71" s="221"/>
      <c r="D71" s="221"/>
      <c r="E71" s="221"/>
    </row>
    <row r="72" spans="1:7" ht="12.75" customHeight="1" x14ac:dyDescent="0.2">
      <c r="A72" s="384" t="s">
        <v>327</v>
      </c>
      <c r="B72" s="384"/>
      <c r="C72" s="384"/>
      <c r="D72" s="384"/>
      <c r="E72" s="384"/>
      <c r="F72" s="384"/>
      <c r="G72" s="384"/>
    </row>
    <row r="73" spans="1:7" ht="12.75" customHeight="1" x14ac:dyDescent="0.2">
      <c r="A73" s="384"/>
      <c r="B73" s="384"/>
      <c r="C73" s="384"/>
      <c r="D73" s="384"/>
      <c r="E73" s="384"/>
      <c r="F73" s="384"/>
      <c r="G73" s="384"/>
    </row>
    <row r="74" spans="1:7" x14ac:dyDescent="0.2">
      <c r="A74" s="220"/>
      <c r="B74" s="220"/>
      <c r="C74" s="220"/>
      <c r="D74" s="220"/>
      <c r="E74" s="220"/>
      <c r="F74" s="220"/>
      <c r="G74" s="220"/>
    </row>
    <row r="75" spans="1:7" x14ac:dyDescent="0.2">
      <c r="A75" s="384" t="s">
        <v>339</v>
      </c>
      <c r="B75" s="384"/>
      <c r="C75" s="384"/>
      <c r="D75" s="384"/>
      <c r="E75" s="384"/>
      <c r="F75" s="384"/>
      <c r="G75" s="384"/>
    </row>
    <row r="76" spans="1:7" x14ac:dyDescent="0.2">
      <c r="A76" s="384"/>
      <c r="B76" s="384"/>
      <c r="C76" s="384"/>
      <c r="D76" s="384"/>
      <c r="E76" s="384"/>
      <c r="F76" s="384"/>
      <c r="G76" s="384"/>
    </row>
    <row r="77" spans="1:7" x14ac:dyDescent="0.2">
      <c r="A77" s="384"/>
      <c r="B77" s="384"/>
      <c r="C77" s="384"/>
      <c r="D77" s="384"/>
      <c r="E77" s="384"/>
      <c r="F77" s="384"/>
      <c r="G77" s="384"/>
    </row>
    <row r="78" spans="1:7" x14ac:dyDescent="0.2">
      <c r="A78" s="241"/>
      <c r="B78" s="241"/>
      <c r="C78" s="241"/>
      <c r="D78" s="241"/>
      <c r="E78" s="241"/>
      <c r="F78" s="241"/>
      <c r="G78" s="241"/>
    </row>
    <row r="79" spans="1:7" x14ac:dyDescent="0.2">
      <c r="A79" s="390" t="s">
        <v>328</v>
      </c>
      <c r="B79" s="390"/>
      <c r="C79" s="390"/>
      <c r="D79" s="390"/>
      <c r="E79" s="390"/>
      <c r="F79" s="390"/>
      <c r="G79" s="390"/>
    </row>
    <row r="80" spans="1:7" x14ac:dyDescent="0.2">
      <c r="A80" s="390"/>
      <c r="B80" s="390"/>
      <c r="C80" s="390"/>
      <c r="D80" s="390"/>
      <c r="E80" s="390"/>
      <c r="F80" s="390"/>
      <c r="G80" s="390"/>
    </row>
    <row r="81" spans="1:7" ht="12.75" customHeight="1" x14ac:dyDescent="0.2">
      <c r="B81" s="220"/>
      <c r="C81" s="220"/>
      <c r="D81" s="220"/>
      <c r="E81" s="220"/>
      <c r="F81" s="220"/>
      <c r="G81" s="220"/>
    </row>
    <row r="82" spans="1:7" x14ac:dyDescent="0.2">
      <c r="A82" s="384" t="s">
        <v>338</v>
      </c>
      <c r="B82" s="384"/>
      <c r="C82" s="384"/>
      <c r="D82" s="384"/>
      <c r="E82" s="384"/>
      <c r="F82" s="384"/>
      <c r="G82" s="384"/>
    </row>
    <row r="83" spans="1:7" x14ac:dyDescent="0.2">
      <c r="A83" s="384"/>
      <c r="B83" s="384"/>
      <c r="C83" s="384"/>
      <c r="D83" s="384"/>
      <c r="E83" s="384"/>
      <c r="F83" s="384"/>
      <c r="G83" s="384"/>
    </row>
    <row r="84" spans="1:7" x14ac:dyDescent="0.2">
      <c r="A84" s="384"/>
      <c r="B84" s="384"/>
      <c r="C84" s="384"/>
      <c r="D84" s="384"/>
      <c r="E84" s="384"/>
      <c r="F84" s="384"/>
      <c r="G84" s="384"/>
    </row>
    <row r="85" spans="1:7" x14ac:dyDescent="0.2">
      <c r="A85" s="220"/>
      <c r="B85" s="220"/>
      <c r="C85" s="220"/>
      <c r="D85" s="220"/>
      <c r="E85" s="220"/>
      <c r="F85" s="220"/>
      <c r="G85" s="220"/>
    </row>
    <row r="86" spans="1:7" x14ac:dyDescent="0.2">
      <c r="A86" s="390" t="s">
        <v>329</v>
      </c>
      <c r="B86" s="390"/>
      <c r="C86" s="390"/>
      <c r="D86" s="390"/>
      <c r="E86" s="390"/>
      <c r="F86" s="390"/>
      <c r="G86" s="390"/>
    </row>
    <row r="87" spans="1:7" x14ac:dyDescent="0.2">
      <c r="A87" s="390"/>
      <c r="B87" s="390"/>
      <c r="C87" s="390"/>
      <c r="D87" s="390"/>
      <c r="E87" s="390"/>
      <c r="F87" s="390"/>
      <c r="G87" s="390"/>
    </row>
    <row r="89" spans="1:7" x14ac:dyDescent="0.2">
      <c r="A89" s="384" t="s">
        <v>333</v>
      </c>
      <c r="B89" s="384"/>
      <c r="C89" s="384"/>
      <c r="D89" s="384"/>
      <c r="E89" s="384"/>
      <c r="F89" s="384"/>
      <c r="G89" s="384"/>
    </row>
    <row r="90" spans="1:7" x14ac:dyDescent="0.2">
      <c r="A90" s="384"/>
      <c r="B90" s="384"/>
      <c r="C90" s="384"/>
      <c r="D90" s="384"/>
      <c r="E90" s="384"/>
      <c r="F90" s="384"/>
      <c r="G90" s="384"/>
    </row>
    <row r="92" spans="1:7" ht="12.75" customHeight="1" x14ac:dyDescent="0.2">
      <c r="A92" s="384" t="s">
        <v>334</v>
      </c>
      <c r="B92" s="384"/>
      <c r="C92" s="384"/>
      <c r="D92" s="384"/>
      <c r="E92" s="384"/>
      <c r="F92" s="384"/>
      <c r="G92" s="384"/>
    </row>
    <row r="93" spans="1:7" x14ac:dyDescent="0.2">
      <c r="A93" s="384"/>
      <c r="B93" s="384"/>
      <c r="C93" s="384"/>
      <c r="D93" s="384"/>
      <c r="E93" s="384"/>
      <c r="F93" s="384"/>
      <c r="G93" s="384"/>
    </row>
    <row r="94" spans="1:7" x14ac:dyDescent="0.2">
      <c r="A94" s="384"/>
      <c r="B94" s="384"/>
      <c r="C94" s="384"/>
      <c r="D94" s="384"/>
      <c r="E94" s="384"/>
      <c r="F94" s="384"/>
      <c r="G94" s="384"/>
    </row>
    <row r="95" spans="1:7" x14ac:dyDescent="0.2">
      <c r="A95" s="384"/>
      <c r="B95" s="384"/>
      <c r="C95" s="384"/>
      <c r="D95" s="384"/>
      <c r="E95" s="384"/>
      <c r="F95" s="384"/>
      <c r="G95" s="384"/>
    </row>
    <row r="96" spans="1:7" x14ac:dyDescent="0.2">
      <c r="A96" s="384"/>
      <c r="B96" s="384"/>
      <c r="C96" s="384"/>
      <c r="D96" s="384"/>
      <c r="E96" s="384"/>
      <c r="F96" s="384"/>
      <c r="G96" s="384"/>
    </row>
    <row r="97" spans="1:7" x14ac:dyDescent="0.2">
      <c r="A97" s="384"/>
      <c r="B97" s="384"/>
      <c r="C97" s="384"/>
      <c r="D97" s="384"/>
      <c r="E97" s="384"/>
      <c r="F97" s="384"/>
      <c r="G97" s="384"/>
    </row>
    <row r="99" spans="1:7" ht="12.75" customHeight="1" x14ac:dyDescent="0.2">
      <c r="A99" s="388" t="s">
        <v>335</v>
      </c>
      <c r="B99" s="388"/>
      <c r="C99" s="388"/>
      <c r="D99" s="388"/>
      <c r="E99" s="388"/>
      <c r="F99" s="388"/>
      <c r="G99" s="388"/>
    </row>
    <row r="100" spans="1:7" x14ac:dyDescent="0.2">
      <c r="A100" s="388"/>
      <c r="B100" s="388"/>
      <c r="C100" s="388"/>
      <c r="D100" s="388"/>
      <c r="E100" s="388"/>
      <c r="F100" s="388"/>
      <c r="G100" s="388"/>
    </row>
    <row r="101" spans="1:7" x14ac:dyDescent="0.2">
      <c r="A101" s="388"/>
      <c r="B101" s="388"/>
      <c r="C101" s="388"/>
      <c r="D101" s="388"/>
      <c r="E101" s="388"/>
      <c r="F101" s="388"/>
      <c r="G101" s="388"/>
    </row>
    <row r="102" spans="1:7" x14ac:dyDescent="0.2">
      <c r="A102" s="388"/>
      <c r="B102" s="388"/>
      <c r="C102" s="388"/>
      <c r="D102" s="388"/>
      <c r="E102" s="388"/>
      <c r="F102" s="388"/>
      <c r="G102" s="388"/>
    </row>
    <row r="104" spans="1:7" x14ac:dyDescent="0.2">
      <c r="A104" s="384" t="s">
        <v>336</v>
      </c>
      <c r="B104" s="384"/>
      <c r="C104" s="384"/>
      <c r="D104" s="384"/>
      <c r="E104" s="384"/>
      <c r="F104" s="384"/>
      <c r="G104" s="384"/>
    </row>
    <row r="105" spans="1:7" x14ac:dyDescent="0.2">
      <c r="A105" s="384"/>
      <c r="B105" s="384"/>
      <c r="C105" s="384"/>
      <c r="D105" s="384"/>
      <c r="E105" s="384"/>
      <c r="F105" s="384"/>
      <c r="G105" s="384"/>
    </row>
    <row r="106" spans="1:7" x14ac:dyDescent="0.2">
      <c r="A106" s="384"/>
      <c r="B106" s="384"/>
      <c r="C106" s="384"/>
      <c r="D106" s="384"/>
      <c r="E106" s="384"/>
      <c r="F106" s="384"/>
      <c r="G106" s="384"/>
    </row>
    <row r="108" spans="1:7" x14ac:dyDescent="0.2">
      <c r="A108" s="384" t="s">
        <v>337</v>
      </c>
      <c r="B108" s="384"/>
      <c r="C108" s="384"/>
      <c r="D108" s="384"/>
      <c r="E108" s="384"/>
      <c r="F108" s="384"/>
      <c r="G108" s="384"/>
    </row>
    <row r="109" spans="1:7" x14ac:dyDescent="0.2">
      <c r="A109" s="384"/>
      <c r="B109" s="384"/>
      <c r="C109" s="384"/>
      <c r="D109" s="384"/>
      <c r="E109" s="384"/>
      <c r="F109" s="384"/>
      <c r="G109" s="384"/>
    </row>
  </sheetData>
  <mergeCells count="16">
    <mergeCell ref="A12:A13"/>
    <mergeCell ref="A33:H34"/>
    <mergeCell ref="A60:G63"/>
    <mergeCell ref="A104:G106"/>
    <mergeCell ref="A108:G109"/>
    <mergeCell ref="A72:G73"/>
    <mergeCell ref="A75:G77"/>
    <mergeCell ref="A86:G87"/>
    <mergeCell ref="A89:G90"/>
    <mergeCell ref="A92:G97"/>
    <mergeCell ref="A99:G102"/>
    <mergeCell ref="A69:G70"/>
    <mergeCell ref="A55:G58"/>
    <mergeCell ref="A65:G67"/>
    <mergeCell ref="A79:G80"/>
    <mergeCell ref="A82:G84"/>
  </mergeCells>
  <pageMargins left="0.70866141732283472" right="0.70866141732283472" top="0.74803149606299213" bottom="0.74803149606299213" header="0.31496062992125984" footer="0.31496062992125984"/>
  <pageSetup paperSize="9" scale="60" orientation="landscape" r:id="rId1"/>
  <headerFooter>
    <oddHeader>&amp;CLincolnshire County Council</oddHeader>
    <oddFooter>&amp;C2016/17 LTLC &amp; Sol 4 Budget Shares
Sol 4 Budget 2016/17</oddFooter>
  </headerFooter>
  <rowBreaks count="1" manualBreakCount="1">
    <brk id="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8</vt:i4>
      </vt:variant>
    </vt:vector>
  </HeadingPairs>
  <TitlesOfParts>
    <vt:vector size="27" baseType="lpstr">
      <vt:lpstr>Summary 201314</vt:lpstr>
      <vt:lpstr>Summary 201415</vt:lpstr>
      <vt:lpstr>Summary 201516</vt:lpstr>
      <vt:lpstr>LTLC Budget 201516</vt:lpstr>
      <vt:lpstr>Sol4 Budget 201516</vt:lpstr>
      <vt:lpstr>Solutions 4</vt:lpstr>
      <vt:lpstr>Summary 201617</vt:lpstr>
      <vt:lpstr>LTLC Budget 201617</vt:lpstr>
      <vt:lpstr>Sol4 Budget 201617 (Apr-Aug)</vt:lpstr>
      <vt:lpstr>Sol4 Budget 201617 (Sept-Mar)</vt:lpstr>
      <vt:lpstr>Sol4 201617</vt:lpstr>
      <vt:lpstr>LTLC Budget 201718</vt:lpstr>
      <vt:lpstr>Sol4 Budget 201718</vt:lpstr>
      <vt:lpstr>Summary 201718</vt:lpstr>
      <vt:lpstr>Sol4 201718</vt:lpstr>
      <vt:lpstr>Front Sheet</vt:lpstr>
      <vt:lpstr>ISB Weightings</vt:lpstr>
      <vt:lpstr>Budget Shares</vt:lpstr>
      <vt:lpstr>1819 DSG 1718 Underspend</vt:lpstr>
      <vt:lpstr>'Budget Shares'!Print_Area</vt:lpstr>
      <vt:lpstr>'Sol4 Budget 201516'!Print_Area</vt:lpstr>
      <vt:lpstr>'Sol4 Budget 201617 (Apr-Aug)'!Print_Area</vt:lpstr>
      <vt:lpstr>'Sol4 Budget 201617 (Sept-Mar)'!Print_Area</vt:lpstr>
      <vt:lpstr>'Solutions 4'!Print_Area</vt:lpstr>
      <vt:lpstr>'Summary 201314'!Print_Area</vt:lpstr>
      <vt:lpstr>'Summary 201415'!Print_Area</vt:lpstr>
      <vt:lpstr>'Summary 201516'!Print_Area</vt:lpstr>
    </vt:vector>
  </TitlesOfParts>
  <Company>Lincolnshire County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Popplewell</dc:creator>
  <cp:lastModifiedBy>Teresa Rowson</cp:lastModifiedBy>
  <cp:lastPrinted>2020-02-26T21:48:47Z</cp:lastPrinted>
  <dcterms:created xsi:type="dcterms:W3CDTF">2014-05-14T09:21:51Z</dcterms:created>
  <dcterms:modified xsi:type="dcterms:W3CDTF">2020-02-27T14:16:53Z</dcterms:modified>
</cp:coreProperties>
</file>