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862" lockStructure="1"/>
  <bookViews>
    <workbookView xWindow="-15" yWindow="6045" windowWidth="15480" windowHeight="4290" tabRatio="943" firstSheet="1" activeTab="1"/>
  </bookViews>
  <sheets>
    <sheet name="Funding Model" sheetId="1" state="hidden" r:id="rId1"/>
    <sheet name="Front Sheet - Please Read First" sheetId="2" r:id="rId2"/>
    <sheet name="ISB Weightings" sheetId="3" r:id="rId3"/>
    <sheet name="Budget Shares" sheetId="4" r:id="rId4"/>
    <sheet name="2017-18 Funding" sheetId="20" state="hidden" r:id="rId5"/>
    <sheet name="Band Calculations 17-18" sheetId="21" state="hidden" r:id="rId6"/>
    <sheet name="Other Funding" sheetId="12" state="hidden" r:id="rId7"/>
    <sheet name="2015-16 Funding" sheetId="15" state="hidden" r:id="rId8"/>
    <sheet name="2014-15 Funding" sheetId="5" state="hidden" r:id="rId9"/>
    <sheet name="2013-14 Funding (3)" sheetId="6" state="hidden" r:id="rId10"/>
    <sheet name="2013-14 Funding (2)" sheetId="7" state="hidden" r:id="rId11"/>
    <sheet name="2013-14 Funding" sheetId="8" state="hidden" r:id="rId12"/>
    <sheet name="2013-14 Top-ups" sheetId="9" state="hidden" r:id="rId13"/>
    <sheet name="BS 2012-13" sheetId="10" state="hidden" r:id="rId14"/>
    <sheet name="Band Calculations" sheetId="11" state="hidden" r:id="rId15"/>
    <sheet name="Band Calculations 15-16" sheetId="16" state="hidden" r:id="rId16"/>
    <sheet name="One-Off DSG" sheetId="13" state="hidden" r:id="rId17"/>
    <sheet name="One-Off DSG 15-16" sheetId="17" state="hidden" r:id="rId18"/>
    <sheet name="Revised Band Returns" sheetId="14" state="hidden" r:id="rId19"/>
    <sheet name="Band Calculations 16-17" sheetId="18" state="hidden" r:id="rId20"/>
    <sheet name="2016-17 Funding" sheetId="19" state="hidden" r:id="rId21"/>
    <sheet name="1819 DSG 1718 Underspend" sheetId="22" state="hidden" r:id="rId22"/>
    <sheet name="1819 Funding" sheetId="23" state="hidden" r:id="rId23"/>
    <sheet name="1920 Funding" sheetId="24" state="hidden" r:id="rId24"/>
    <sheet name="2021 Funding" sheetId="25"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[1]Detailed_Output!$A$4:$U$230</definedName>
    <definedName name="AAHel">#REF!</definedName>
    <definedName name="ABSG">#REF!</definedName>
    <definedName name="Acad_months">[2]Academies!$B$29:$B$40</definedName>
    <definedName name="AST">#REF!</definedName>
    <definedName name="BasketNo">#REF!</definedName>
    <definedName name="BasketUoF_UnAdj">#REF!</definedName>
    <definedName name="DATA1">#REF!</definedName>
    <definedName name="DATA10" localSheetId="10">#REF!</definedName>
    <definedName name="DATA10" localSheetId="9">#REF!</definedName>
    <definedName name="DATA10" localSheetId="15">#REF!</definedName>
    <definedName name="DATA10" localSheetId="3">#REF!</definedName>
    <definedName name="DATA10">#REF!</definedName>
    <definedName name="DATA11">#REF!</definedName>
    <definedName name="DATA12">#REF!</definedName>
    <definedName name="DATA13" localSheetId="10">#REF!</definedName>
    <definedName name="DATA13" localSheetId="9">#REF!</definedName>
    <definedName name="DATA13" localSheetId="15">#REF!</definedName>
    <definedName name="DATA13" localSheetId="3">#REF!</definedName>
    <definedName name="DATA13">#REF!</definedName>
    <definedName name="DATA14" localSheetId="10">'[3]Staffing Est.'!#REF!</definedName>
    <definedName name="DATA14" localSheetId="9">'[3]Staffing Est.'!#REF!</definedName>
    <definedName name="DATA14" localSheetId="15">'[3]Staffing Est.'!#REF!</definedName>
    <definedName name="DATA14" localSheetId="3">'[3]Staffing Est.'!#REF!</definedName>
    <definedName name="DATA14">'[3]Staffing Est.'!#REF!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 localSheetId="10">#REF!</definedName>
    <definedName name="DATA9" localSheetId="9">#REF!</definedName>
    <definedName name="DATA9" localSheetId="15">#REF!</definedName>
    <definedName name="DATA9" localSheetId="3">#REF!</definedName>
    <definedName name="DATA9">#REF!</definedName>
    <definedName name="DDLIST">#REF!</definedName>
    <definedName name="DETAIL" localSheetId="0">#REF!</definedName>
    <definedName name="FSM_uc">#REF!</definedName>
    <definedName name="FSM_UC_FUTURE">#REF!</definedName>
    <definedName name="FTEall">[4]FTEall!$B$11:$S$160</definedName>
    <definedName name="Gross_S52">#REF!</definedName>
    <definedName name="Indicator">[5]CodeSet!$A$1:$A$2</definedName>
    <definedName name="Indicator2">[5]CodeSet!$A$4:$A$6</definedName>
    <definedName name="LA_Choice">[6]Instructions!$E$20</definedName>
    <definedName name="LEA_Choice">[7]Instructions!$D$6</definedName>
    <definedName name="LEAcount">#REF!</definedName>
    <definedName name="LIG">[8]LIG!$A$5:$J$154</definedName>
    <definedName name="ListLAs">'[9]LACSEG All LAs'!$A$4:$A$153</definedName>
    <definedName name="Meals">#REF!</definedName>
    <definedName name="MealsHel">#REF!</definedName>
    <definedName name="Mealsold" localSheetId="10">[10]Section52!#REF!</definedName>
    <definedName name="Mealsold" localSheetId="9">[10]Section52!#REF!</definedName>
    <definedName name="Mealsold" localSheetId="15">[10]Section52!#REF!</definedName>
    <definedName name="Mealsold" localSheetId="3">[10]Section52!#REF!</definedName>
    <definedName name="Mealsold">[10]Section52!#REF!</definedName>
    <definedName name="Names_Lookup">'[6]Background data'!$A$6:$Q$155</definedName>
    <definedName name="NI" localSheetId="0">#REF!</definedName>
    <definedName name="OLE_LINK1" localSheetId="2">'ISB Weightings'!#REF!</definedName>
    <definedName name="OLE_LINK3" localSheetId="2">'ISB Weightings'!$A$45</definedName>
    <definedName name="OptionsHel">#REF!</definedName>
    <definedName name="Phase_split">[8]all_asc!$A$12:$V$179</definedName>
    <definedName name="_xlnm.Print_Area" localSheetId="11">'2013-14 Funding'!$B$1:$AB$48</definedName>
    <definedName name="_xlnm.Print_Area" localSheetId="10">'2013-14 Funding (2)'!$A$1:$AW$48</definedName>
    <definedName name="_xlnm.Print_Area" localSheetId="3">'Budget Shares'!$A$1:$I$58</definedName>
    <definedName name="_xlnm.Print_Area" localSheetId="1">'Front Sheet - Please Read First'!$A$1:$B$15</definedName>
    <definedName name="_xlnm.Print_Area" localSheetId="0">'Funding Model'!$A$1:$J$39</definedName>
    <definedName name="_xlnm.Print_Area" localSheetId="2">'ISB Weightings'!$A$1:$Q$37</definedName>
    <definedName name="_xlnm.Print_Area" localSheetId="6">'Other Funding'!$A$1:$S$64</definedName>
    <definedName name="_xlnm.Print_Titles" localSheetId="9">'2013-14 Funding (3)'!$1:$3</definedName>
    <definedName name="PTR">#REF!</definedName>
    <definedName name="PYEAR">'[11]Basic Information'!$G$14</definedName>
    <definedName name="qry_nor_list_a3_and_a4_cohorts_joined">#REF!</definedName>
    <definedName name="Query2">#REF!</definedName>
    <definedName name="Query3">#REF!</definedName>
    <definedName name="Query4">#REF!</definedName>
    <definedName name="recoupamount">'[12]Academy Recoupment'!$D$39</definedName>
    <definedName name="SALARY">#N/A</definedName>
    <definedName name="school">'[13]FTE data'!$A$3:$BR$379</definedName>
    <definedName name="schools">#REF!</definedName>
    <definedName name="SchTypeList">[5]CodeSet!$C$1:$C$10</definedName>
    <definedName name="sec_asc">#REF!</definedName>
    <definedName name="SEC_S52">#REF!</definedName>
    <definedName name="SEN">#REF!</definedName>
    <definedName name="TableOne">'[8]S52 Sec'!$A$11:$CO$161</definedName>
    <definedName name="TableOneGross">'[4]S52 Gross'!$A$11:$CY$161</definedName>
    <definedName name="TableOneSec">'[4]S52 Sec'!$A$11:$CW$161</definedName>
    <definedName name="TEST1">#REF!</definedName>
    <definedName name="TESTHKEY">#REF!</definedName>
    <definedName name="TESTKEYS">#REF!</definedName>
    <definedName name="TESTVKEY">#REF!</definedName>
    <definedName name="UoF_Adj">#REF!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 name="Z_6B129A8F_21F1_407F_BF03_B1785CB23E02_.wvu.Cols" localSheetId="11" hidden="1">'2013-14 Funding'!$M:$Q</definedName>
    <definedName name="Z_6B129A8F_21F1_407F_BF03_B1785CB23E02_.wvu.Cols" localSheetId="10" hidden="1">'2013-14 Funding (2)'!$M:$Q</definedName>
    <definedName name="Z_6B129A8F_21F1_407F_BF03_B1785CB23E02_.wvu.Cols" localSheetId="9" hidden="1">'2013-14 Funding (3)'!$L:$P</definedName>
    <definedName name="Z_6B129A8F_21F1_407F_BF03_B1785CB23E02_.wvu.Cols" localSheetId="18" hidden="1">'Revised Band Returns'!$B:$B</definedName>
    <definedName name="Z_6B129A8F_21F1_407F_BF03_B1785CB23E02_.wvu.PrintArea" localSheetId="11" hidden="1">'2013-14 Funding'!$B$1:$AB$48</definedName>
    <definedName name="Z_6B129A8F_21F1_407F_BF03_B1785CB23E02_.wvu.PrintArea" localSheetId="10" hidden="1">'2013-14 Funding (2)'!$A$1:$AW$48</definedName>
    <definedName name="Z_6B129A8F_21F1_407F_BF03_B1785CB23E02_.wvu.PrintArea" localSheetId="3" hidden="1">'Budget Shares'!$A$1:$E$104</definedName>
    <definedName name="Z_6B129A8F_21F1_407F_BF03_B1785CB23E02_.wvu.PrintArea" localSheetId="1" hidden="1">'Front Sheet - Please Read First'!$A$1:$B$15</definedName>
    <definedName name="Z_6B129A8F_21F1_407F_BF03_B1785CB23E02_.wvu.PrintArea" localSheetId="0" hidden="1">'Funding Model'!$A$1:$J$39</definedName>
    <definedName name="Z_6B129A8F_21F1_407F_BF03_B1785CB23E02_.wvu.PrintArea" localSheetId="2" hidden="1">'ISB Weightings'!$A$1:$O$37</definedName>
    <definedName name="Z_6B129A8F_21F1_407F_BF03_B1785CB23E02_.wvu.PrintArea" localSheetId="6" hidden="1">'Other Funding'!$A$1:$S$64</definedName>
    <definedName name="Z_6B129A8F_21F1_407F_BF03_B1785CB23E02_.wvu.PrintTitles" localSheetId="9" hidden="1">'2013-14 Funding (3)'!$1:$3</definedName>
    <definedName name="Z_6B129A8F_21F1_407F_BF03_B1785CB23E02_.wvu.Rows" localSheetId="14" hidden="1">'Band Calculations'!$5:$23</definedName>
    <definedName name="Z_6B129A8F_21F1_407F_BF03_B1785CB23E02_.wvu.Rows" localSheetId="15" hidden="1">'Band Calculations 15-16'!$5:$23</definedName>
  </definedNames>
  <calcPr calcId="145621"/>
  <customWorkbookViews>
    <customWorkbookView name="Julie Hulme - Personal View" guid="{6B129A8F-21F1-407F-BF03-B1785CB23E02}" mergeInterval="0" personalView="1" maximized="1" windowWidth="1362" windowHeight="543" tabRatio="943" activeSheetId="3"/>
  </customWorkbookViews>
</workbook>
</file>

<file path=xl/calcChain.xml><?xml version="1.0" encoding="utf-8"?>
<calcChain xmlns="http://schemas.openxmlformats.org/spreadsheetml/2006/main">
  <c r="G14" i="4" l="1"/>
  <c r="K5" i="25" l="1"/>
  <c r="D18" i="4" l="1"/>
  <c r="B18" i="4"/>
  <c r="D12" i="4"/>
  <c r="B11" i="4"/>
  <c r="D11" i="4"/>
  <c r="D10" i="4"/>
  <c r="D9" i="4"/>
  <c r="D8" i="4"/>
  <c r="B12" i="4"/>
  <c r="B15" i="4"/>
  <c r="B10" i="4"/>
  <c r="B9" i="4"/>
  <c r="B8" i="4"/>
  <c r="H5" i="25"/>
  <c r="E5" i="25"/>
  <c r="D5" i="25"/>
  <c r="M4" i="25"/>
  <c r="K4" i="25"/>
  <c r="H4" i="25"/>
  <c r="E4" i="25"/>
  <c r="D4" i="25"/>
  <c r="L4" i="25" s="1"/>
  <c r="D13" i="4" l="1"/>
  <c r="B13" i="4"/>
  <c r="L5" i="25"/>
  <c r="D15" i="4" s="1"/>
  <c r="L5" i="24" l="1"/>
  <c r="L4" i="24"/>
  <c r="K5" i="24"/>
  <c r="K4" i="24"/>
  <c r="L5" i="23"/>
  <c r="L4" i="23"/>
  <c r="K5" i="23"/>
  <c r="K4" i="23"/>
  <c r="H5" i="24"/>
  <c r="E5" i="24"/>
  <c r="D5" i="24"/>
  <c r="M4" i="24"/>
  <c r="H4" i="24"/>
  <c r="E4" i="24"/>
  <c r="D4" i="24"/>
  <c r="H5" i="23"/>
  <c r="E5" i="23"/>
  <c r="D5" i="23"/>
  <c r="M4" i="23"/>
  <c r="H4" i="23"/>
  <c r="E4" i="23"/>
  <c r="D4" i="23"/>
  <c r="G13" i="4" l="1"/>
  <c r="I41" i="22"/>
  <c r="J40" i="22"/>
  <c r="K40" i="22"/>
  <c r="K39" i="22"/>
  <c r="J39" i="22"/>
  <c r="J38" i="22"/>
  <c r="K38" i="22"/>
  <c r="I36" i="22"/>
  <c r="H36" i="22"/>
  <c r="H41" i="22"/>
  <c r="I43" i="22"/>
  <c r="K35" i="22"/>
  <c r="J35" i="22"/>
  <c r="J34" i="22"/>
  <c r="K34" i="22"/>
  <c r="K33" i="22"/>
  <c r="J33" i="22"/>
  <c r="J32" i="22"/>
  <c r="K32" i="22"/>
  <c r="J31" i="22"/>
  <c r="K31" i="22"/>
  <c r="J30" i="22"/>
  <c r="K30" i="22"/>
  <c r="J29" i="22"/>
  <c r="K29" i="22"/>
  <c r="C29" i="22"/>
  <c r="C32" i="22"/>
  <c r="J28" i="22"/>
  <c r="K28" i="22"/>
  <c r="J27" i="22"/>
  <c r="K27" i="22"/>
  <c r="J26" i="22"/>
  <c r="K26" i="22"/>
  <c r="J25" i="22"/>
  <c r="K25" i="22"/>
  <c r="K24" i="22"/>
  <c r="J24" i="22"/>
  <c r="J23" i="22"/>
  <c r="K23" i="22"/>
  <c r="J22" i="22"/>
  <c r="K22" i="22"/>
  <c r="K21" i="22"/>
  <c r="J21" i="22"/>
  <c r="J20" i="22"/>
  <c r="K20" i="22"/>
  <c r="J19" i="22"/>
  <c r="K19" i="22"/>
  <c r="K18" i="22"/>
  <c r="J18" i="22"/>
  <c r="J36" i="22"/>
  <c r="J41" i="22"/>
  <c r="H8" i="22"/>
  <c r="K7" i="22"/>
  <c r="J7" i="22"/>
  <c r="L7" i="22"/>
  <c r="K6" i="22"/>
  <c r="J6" i="22"/>
  <c r="L6" i="22"/>
  <c r="K5" i="22"/>
  <c r="J5" i="22"/>
  <c r="L5" i="22"/>
  <c r="K4" i="22"/>
  <c r="K8" i="22"/>
  <c r="J4" i="22"/>
  <c r="J8" i="22"/>
  <c r="K36" i="22"/>
  <c r="D13" i="22"/>
  <c r="D26" i="22"/>
  <c r="D23" i="22"/>
  <c r="D20" i="22"/>
  <c r="D27" i="22"/>
  <c r="D12" i="22"/>
  <c r="D8" i="22"/>
  <c r="D7" i="22"/>
  <c r="D6" i="22"/>
  <c r="D5" i="22"/>
  <c r="D4" i="22"/>
  <c r="D18" i="22"/>
  <c r="D14" i="22"/>
  <c r="D11" i="22"/>
  <c r="D25" i="22"/>
  <c r="D22" i="22"/>
  <c r="D19" i="22"/>
  <c r="D17" i="22"/>
  <c r="D10" i="22"/>
  <c r="D15" i="22"/>
  <c r="D9" i="22"/>
  <c r="I45" i="22"/>
  <c r="N41" i="22"/>
  <c r="I49" i="22"/>
  <c r="I51" i="22"/>
  <c r="I53" i="22"/>
  <c r="L4" i="22"/>
  <c r="L8" i="22"/>
  <c r="K41" i="22"/>
  <c r="L14" i="22"/>
  <c r="D29" i="22"/>
  <c r="G20" i="4"/>
  <c r="H20" i="4" s="1"/>
  <c r="G19" i="4"/>
  <c r="H19" i="4" s="1"/>
  <c r="D34" i="4"/>
  <c r="D32" i="4"/>
  <c r="D31" i="4"/>
  <c r="D30" i="4"/>
  <c r="D29" i="4"/>
  <c r="G12" i="4"/>
  <c r="G11" i="4"/>
  <c r="E5" i="20"/>
  <c r="G9" i="4"/>
  <c r="D5" i="20"/>
  <c r="E4" i="20"/>
  <c r="D4" i="20"/>
  <c r="H41" i="21"/>
  <c r="G41" i="21"/>
  <c r="H39" i="21"/>
  <c r="G39" i="21"/>
  <c r="H37" i="21"/>
  <c r="G37" i="21"/>
  <c r="H35" i="21"/>
  <c r="G35" i="21"/>
  <c r="H33" i="21"/>
  <c r="G33" i="21"/>
  <c r="H31" i="21"/>
  <c r="G31" i="21"/>
  <c r="Q25" i="21"/>
  <c r="K25" i="21"/>
  <c r="Q24" i="21"/>
  <c r="K24" i="21"/>
  <c r="Q23" i="21"/>
  <c r="K23" i="21"/>
  <c r="Q22" i="21"/>
  <c r="K22" i="21"/>
  <c r="Q21" i="21"/>
  <c r="K21" i="21"/>
  <c r="Q20" i="21"/>
  <c r="K20" i="21"/>
  <c r="Q19" i="21"/>
  <c r="K19" i="21"/>
  <c r="Q18" i="21"/>
  <c r="K18" i="21"/>
  <c r="Q17" i="21"/>
  <c r="K17" i="21"/>
  <c r="Q16" i="21"/>
  <c r="K16" i="21"/>
  <c r="Q15" i="21"/>
  <c r="K15" i="21"/>
  <c r="Q14" i="21"/>
  <c r="K14" i="21"/>
  <c r="Q13" i="21"/>
  <c r="K13" i="21"/>
  <c r="Q12" i="21"/>
  <c r="K12" i="21"/>
  <c r="Q11" i="21"/>
  <c r="K11" i="21"/>
  <c r="Q10" i="21"/>
  <c r="K10" i="21"/>
  <c r="Q9" i="21"/>
  <c r="K9" i="21"/>
  <c r="Q8" i="21"/>
  <c r="K8" i="21"/>
  <c r="Q7" i="21"/>
  <c r="K7" i="21"/>
  <c r="Q6" i="21"/>
  <c r="K6" i="21"/>
  <c r="Q5" i="21"/>
  <c r="K5" i="21"/>
  <c r="V6" i="21"/>
  <c r="V8" i="21"/>
  <c r="V10" i="21"/>
  <c r="V12" i="21"/>
  <c r="V14" i="21"/>
  <c r="V16" i="21"/>
  <c r="V18" i="21"/>
  <c r="V20" i="21"/>
  <c r="V22" i="21"/>
  <c r="M25" i="21"/>
  <c r="R25" i="21"/>
  <c r="V25" i="21"/>
  <c r="V7" i="21"/>
  <c r="V11" i="21"/>
  <c r="V15" i="21"/>
  <c r="V19" i="21"/>
  <c r="V23" i="21"/>
  <c r="L25" i="21"/>
  <c r="V5" i="21"/>
  <c r="V9" i="21"/>
  <c r="V13" i="21"/>
  <c r="V17" i="21"/>
  <c r="V21" i="21"/>
  <c r="V24" i="21"/>
  <c r="L24" i="21"/>
  <c r="S25" i="21"/>
  <c r="M24" i="21"/>
  <c r="S24" i="21"/>
  <c r="R24" i="21"/>
  <c r="E5" i="19"/>
  <c r="D5" i="19"/>
  <c r="E4" i="19"/>
  <c r="D4" i="19"/>
  <c r="H41" i="18"/>
  <c r="G41" i="18"/>
  <c r="H39" i="18"/>
  <c r="G39" i="18"/>
  <c r="H37" i="18"/>
  <c r="G37" i="18"/>
  <c r="H35" i="18"/>
  <c r="G35" i="18"/>
  <c r="H33" i="18"/>
  <c r="G33" i="18"/>
  <c r="H31" i="18"/>
  <c r="G31" i="18"/>
  <c r="Q25" i="18"/>
  <c r="K25" i="18"/>
  <c r="Q24" i="18"/>
  <c r="K24" i="18"/>
  <c r="Q23" i="18"/>
  <c r="K23" i="18"/>
  <c r="Q22" i="18"/>
  <c r="K22" i="18"/>
  <c r="Q21" i="18"/>
  <c r="K21" i="18"/>
  <c r="Q20" i="18"/>
  <c r="K20" i="18"/>
  <c r="Q19" i="18"/>
  <c r="K19" i="18"/>
  <c r="Q18" i="18"/>
  <c r="K18" i="18"/>
  <c r="Q17" i="18"/>
  <c r="K17" i="18"/>
  <c r="Q16" i="18"/>
  <c r="K16" i="18"/>
  <c r="Q15" i="18"/>
  <c r="K15" i="18"/>
  <c r="Q14" i="18"/>
  <c r="K14" i="18"/>
  <c r="Q13" i="18"/>
  <c r="K13" i="18"/>
  <c r="Q12" i="18"/>
  <c r="K12" i="18"/>
  <c r="Q11" i="18"/>
  <c r="K11" i="18"/>
  <c r="Q10" i="18"/>
  <c r="K10" i="18"/>
  <c r="Q9" i="18"/>
  <c r="K9" i="18"/>
  <c r="Q8" i="18"/>
  <c r="K8" i="18"/>
  <c r="Q7" i="18"/>
  <c r="K7" i="18"/>
  <c r="Q6" i="18"/>
  <c r="K6" i="18"/>
  <c r="Q5" i="18"/>
  <c r="K5" i="18"/>
  <c r="N25" i="21"/>
  <c r="T25" i="21"/>
  <c r="V5" i="18"/>
  <c r="V7" i="18"/>
  <c r="V9" i="18"/>
  <c r="V11" i="18"/>
  <c r="V17" i="18"/>
  <c r="V19" i="18"/>
  <c r="T24" i="21"/>
  <c r="V6" i="18"/>
  <c r="V8" i="18"/>
  <c r="V10" i="18"/>
  <c r="V12" i="18"/>
  <c r="V16" i="18"/>
  <c r="V18" i="18"/>
  <c r="V20" i="18"/>
  <c r="L25" i="18"/>
  <c r="R25" i="18"/>
  <c r="N24" i="21"/>
  <c r="V13" i="18"/>
  <c r="V21" i="18"/>
  <c r="V14" i="18"/>
  <c r="V15" i="18"/>
  <c r="V22" i="18"/>
  <c r="V23" i="18"/>
  <c r="V24" i="18"/>
  <c r="S25" i="18"/>
  <c r="V25" i="18"/>
  <c r="M24" i="18"/>
  <c r="S24" i="18"/>
  <c r="L24" i="18"/>
  <c r="R24" i="18"/>
  <c r="M25" i="18"/>
  <c r="F23" i="17"/>
  <c r="D23" i="17"/>
  <c r="C23" i="17"/>
  <c r="E22" i="17"/>
  <c r="E21" i="17"/>
  <c r="E20" i="17"/>
  <c r="E19" i="17"/>
  <c r="E18" i="17"/>
  <c r="E17" i="17"/>
  <c r="E16" i="17"/>
  <c r="E15" i="17"/>
  <c r="E14" i="17"/>
  <c r="E13" i="17"/>
  <c r="E12" i="17"/>
  <c r="E11" i="17"/>
  <c r="E10" i="17"/>
  <c r="E9" i="17"/>
  <c r="E8" i="17"/>
  <c r="E7" i="17"/>
  <c r="E6" i="17"/>
  <c r="E5" i="17"/>
  <c r="E4" i="17"/>
  <c r="E3" i="17"/>
  <c r="U25" i="21"/>
  <c r="H5" i="20"/>
  <c r="K5" i="20"/>
  <c r="U24" i="21"/>
  <c r="W24" i="21"/>
  <c r="N25" i="18"/>
  <c r="N24" i="18"/>
  <c r="T24" i="18"/>
  <c r="T25" i="18"/>
  <c r="C27" i="17"/>
  <c r="G14" i="17"/>
  <c r="I14" i="17"/>
  <c r="E23" i="17"/>
  <c r="H23" i="17"/>
  <c r="G10" i="4"/>
  <c r="W25" i="21"/>
  <c r="D22" i="4"/>
  <c r="U25" i="18"/>
  <c r="W25" i="18"/>
  <c r="B22" i="4"/>
  <c r="U24" i="18"/>
  <c r="W24" i="18"/>
  <c r="G15" i="17"/>
  <c r="I15" i="17"/>
  <c r="G4" i="17"/>
  <c r="I4" i="17"/>
  <c r="G20" i="17"/>
  <c r="I20" i="17"/>
  <c r="G7" i="17"/>
  <c r="I7" i="17"/>
  <c r="G18" i="17"/>
  <c r="I18" i="17"/>
  <c r="G9" i="17"/>
  <c r="I9" i="17"/>
  <c r="G17" i="17"/>
  <c r="I17" i="17"/>
  <c r="G8" i="17"/>
  <c r="I8" i="17"/>
  <c r="G6" i="17"/>
  <c r="I6" i="17"/>
  <c r="G22" i="17"/>
  <c r="I22" i="17"/>
  <c r="G3" i="17"/>
  <c r="I3" i="17"/>
  <c r="G11" i="17"/>
  <c r="I11" i="17"/>
  <c r="G19" i="17"/>
  <c r="I19" i="17"/>
  <c r="G12" i="17"/>
  <c r="I12" i="17"/>
  <c r="G10" i="17"/>
  <c r="I10" i="17"/>
  <c r="G5" i="17"/>
  <c r="I5" i="17"/>
  <c r="G13" i="17"/>
  <c r="I13" i="17"/>
  <c r="G21" i="17"/>
  <c r="I21" i="17"/>
  <c r="G16" i="17"/>
  <c r="I16" i="17"/>
  <c r="I23" i="17"/>
  <c r="G23" i="17"/>
  <c r="H41" i="16"/>
  <c r="G41" i="16"/>
  <c r="H39" i="16"/>
  <c r="G39" i="16"/>
  <c r="H37" i="16"/>
  <c r="G37" i="16"/>
  <c r="H35" i="16"/>
  <c r="G35" i="16"/>
  <c r="H33" i="16"/>
  <c r="G33" i="16"/>
  <c r="H31" i="16"/>
  <c r="G31" i="16"/>
  <c r="Q25" i="16"/>
  <c r="K25" i="16"/>
  <c r="Q24" i="16"/>
  <c r="K24" i="16"/>
  <c r="Q23" i="16"/>
  <c r="K23" i="16"/>
  <c r="Q22" i="16"/>
  <c r="K22" i="16"/>
  <c r="Q21" i="16"/>
  <c r="K21" i="16"/>
  <c r="Q20" i="16"/>
  <c r="K20" i="16"/>
  <c r="Q19" i="16"/>
  <c r="K19" i="16"/>
  <c r="Q18" i="16"/>
  <c r="K18" i="16"/>
  <c r="Q17" i="16"/>
  <c r="K17" i="16"/>
  <c r="Q16" i="16"/>
  <c r="K16" i="16"/>
  <c r="Q15" i="16"/>
  <c r="K15" i="16"/>
  <c r="Q14" i="16"/>
  <c r="K14" i="16"/>
  <c r="Q13" i="16"/>
  <c r="K13" i="16"/>
  <c r="Q12" i="16"/>
  <c r="K12" i="16"/>
  <c r="Q11" i="16"/>
  <c r="K11" i="16"/>
  <c r="Q10" i="16"/>
  <c r="K10" i="16"/>
  <c r="Q9" i="16"/>
  <c r="K9" i="16"/>
  <c r="Q8" i="16"/>
  <c r="K8" i="16"/>
  <c r="Q7" i="16"/>
  <c r="K7" i="16"/>
  <c r="Q6" i="16"/>
  <c r="K6" i="16"/>
  <c r="Q5" i="16"/>
  <c r="K5" i="16"/>
  <c r="E5" i="15"/>
  <c r="D5" i="15"/>
  <c r="E4" i="15"/>
  <c r="D4" i="15"/>
  <c r="G33" i="4"/>
  <c r="G31" i="4"/>
  <c r="G32" i="4"/>
  <c r="E5" i="5"/>
  <c r="D5" i="5"/>
  <c r="E4" i="5"/>
  <c r="D4" i="5"/>
  <c r="R31" i="12"/>
  <c r="O31" i="12"/>
  <c r="D5" i="9"/>
  <c r="E5" i="9"/>
  <c r="D4" i="9"/>
  <c r="E4" i="9"/>
  <c r="D35" i="6"/>
  <c r="E35" i="6"/>
  <c r="G31" i="11"/>
  <c r="G33" i="11"/>
  <c r="G35" i="11"/>
  <c r="G37" i="11"/>
  <c r="G39" i="11"/>
  <c r="G41" i="11"/>
  <c r="D36" i="6"/>
  <c r="E36" i="6"/>
  <c r="E29" i="6"/>
  <c r="E4" i="6"/>
  <c r="E5" i="6"/>
  <c r="E6" i="6"/>
  <c r="E7" i="6"/>
  <c r="E8" i="6"/>
  <c r="E9" i="6"/>
  <c r="E10" i="6"/>
  <c r="E13" i="6"/>
  <c r="E14" i="6"/>
  <c r="E15" i="6"/>
  <c r="E16" i="6"/>
  <c r="E18" i="6"/>
  <c r="E19" i="6"/>
  <c r="E20" i="6"/>
  <c r="E21" i="6"/>
  <c r="E23" i="6"/>
  <c r="E24" i="6"/>
  <c r="P31" i="12"/>
  <c r="Q19" i="12"/>
  <c r="Q15" i="12"/>
  <c r="F61" i="12"/>
  <c r="G60" i="12"/>
  <c r="Q21" i="12"/>
  <c r="G59" i="12"/>
  <c r="G58" i="12"/>
  <c r="N31" i="12"/>
  <c r="K31" i="12"/>
  <c r="M31" i="12"/>
  <c r="L31" i="12"/>
  <c r="J31" i="12"/>
  <c r="G31" i="12"/>
  <c r="F31" i="12"/>
  <c r="L36" i="6"/>
  <c r="L35" i="6"/>
  <c r="AK24" i="6"/>
  <c r="AL24" i="6"/>
  <c r="AH24" i="6"/>
  <c r="AI24" i="6"/>
  <c r="AD24" i="6"/>
  <c r="AE24" i="6"/>
  <c r="AA24" i="6"/>
  <c r="AB24" i="6"/>
  <c r="L24" i="6"/>
  <c r="D24" i="6"/>
  <c r="AK23" i="6"/>
  <c r="AH23" i="6"/>
  <c r="AI23" i="6"/>
  <c r="AD23" i="6"/>
  <c r="AE23" i="6"/>
  <c r="AA23" i="6"/>
  <c r="AB23" i="6"/>
  <c r="L23" i="6"/>
  <c r="D23" i="6"/>
  <c r="AK21" i="6"/>
  <c r="AL21" i="6"/>
  <c r="AH21" i="6"/>
  <c r="AI21" i="6"/>
  <c r="AD21" i="6"/>
  <c r="AE21" i="6"/>
  <c r="AA21" i="6"/>
  <c r="AB21" i="6"/>
  <c r="O21" i="6"/>
  <c r="L21" i="6"/>
  <c r="F21" i="6"/>
  <c r="D21" i="6"/>
  <c r="AK20" i="6"/>
  <c r="AL20" i="6"/>
  <c r="AH20" i="6"/>
  <c r="AI20" i="6"/>
  <c r="AD20" i="6"/>
  <c r="AE20" i="6"/>
  <c r="AA20" i="6"/>
  <c r="AB20" i="6"/>
  <c r="O20" i="6"/>
  <c r="L20" i="6"/>
  <c r="F20" i="6"/>
  <c r="D20" i="6"/>
  <c r="AK19" i="6"/>
  <c r="AL19" i="6"/>
  <c r="AH19" i="6"/>
  <c r="AI19" i="6"/>
  <c r="AD19" i="6"/>
  <c r="AE19" i="6"/>
  <c r="AA19" i="6"/>
  <c r="AB19" i="6"/>
  <c r="O19" i="6"/>
  <c r="L19" i="6"/>
  <c r="F19" i="6"/>
  <c r="F18" i="6"/>
  <c r="F26" i="6"/>
  <c r="D19" i="6"/>
  <c r="AK18" i="6"/>
  <c r="AL18" i="6"/>
  <c r="AH18" i="6"/>
  <c r="AI18" i="6"/>
  <c r="AD18" i="6"/>
  <c r="AE18" i="6"/>
  <c r="AA18" i="6"/>
  <c r="AB18" i="6"/>
  <c r="O18" i="6"/>
  <c r="O26" i="6"/>
  <c r="L18" i="6"/>
  <c r="D18" i="6"/>
  <c r="AK16" i="6"/>
  <c r="AH16" i="6"/>
  <c r="AI16" i="6"/>
  <c r="AD16" i="6"/>
  <c r="AE16" i="6"/>
  <c r="AA16" i="6"/>
  <c r="AB16" i="6"/>
  <c r="L16" i="6"/>
  <c r="D16" i="6"/>
  <c r="AK15" i="6"/>
  <c r="AL15" i="6"/>
  <c r="AH15" i="6"/>
  <c r="AI15" i="6"/>
  <c r="AD15" i="6"/>
  <c r="AE15" i="6"/>
  <c r="AA15" i="6"/>
  <c r="AB15" i="6"/>
  <c r="L15" i="6"/>
  <c r="I15" i="6"/>
  <c r="I26" i="6"/>
  <c r="I38" i="6"/>
  <c r="G15" i="6"/>
  <c r="D15" i="6"/>
  <c r="AK14" i="6"/>
  <c r="AL14" i="6"/>
  <c r="AH14" i="6"/>
  <c r="AI14" i="6"/>
  <c r="AD14" i="6"/>
  <c r="AE14" i="6"/>
  <c r="AA14" i="6"/>
  <c r="AB14" i="6"/>
  <c r="L14" i="6"/>
  <c r="G14" i="6"/>
  <c r="D14" i="6"/>
  <c r="AK13" i="6"/>
  <c r="AL13" i="6"/>
  <c r="AH13" i="6"/>
  <c r="AI13" i="6"/>
  <c r="AD13" i="6"/>
  <c r="AE13" i="6"/>
  <c r="AA13" i="6"/>
  <c r="AB13" i="6"/>
  <c r="L13" i="6"/>
  <c r="D13" i="6"/>
  <c r="AK12" i="6"/>
  <c r="AL12" i="6"/>
  <c r="AH12" i="6"/>
  <c r="AI12" i="6"/>
  <c r="AD12" i="6"/>
  <c r="AE12" i="6"/>
  <c r="AA12" i="6"/>
  <c r="AB12" i="6"/>
  <c r="L12" i="6"/>
  <c r="AK11" i="6"/>
  <c r="AL11" i="6"/>
  <c r="AH11" i="6"/>
  <c r="AI11" i="6"/>
  <c r="AD11" i="6"/>
  <c r="AE11" i="6"/>
  <c r="AA11" i="6"/>
  <c r="AB11" i="6"/>
  <c r="L11" i="6"/>
  <c r="AK10" i="6"/>
  <c r="AL10" i="6"/>
  <c r="AH10" i="6"/>
  <c r="AI10" i="6"/>
  <c r="AD10" i="6"/>
  <c r="AE10" i="6"/>
  <c r="AA10" i="6"/>
  <c r="AB10" i="6"/>
  <c r="L10" i="6"/>
  <c r="D10" i="6"/>
  <c r="AK9" i="6"/>
  <c r="AL9" i="6"/>
  <c r="AH9" i="6"/>
  <c r="AD9" i="6"/>
  <c r="AE9" i="6"/>
  <c r="AA9" i="6"/>
  <c r="AB9" i="6"/>
  <c r="L9" i="6"/>
  <c r="D9" i="6"/>
  <c r="AK8" i="6"/>
  <c r="AL8" i="6"/>
  <c r="AH8" i="6"/>
  <c r="AI8" i="6"/>
  <c r="AD8" i="6"/>
  <c r="AE8" i="6"/>
  <c r="AA8" i="6"/>
  <c r="AB8" i="6"/>
  <c r="L8" i="6"/>
  <c r="D8" i="6"/>
  <c r="AK7" i="6"/>
  <c r="AL7" i="6"/>
  <c r="AH7" i="6"/>
  <c r="AI7" i="6"/>
  <c r="AD7" i="6"/>
  <c r="AE7" i="6"/>
  <c r="AA7" i="6"/>
  <c r="AB7" i="6"/>
  <c r="L7" i="6"/>
  <c r="D7" i="6"/>
  <c r="AK6" i="6"/>
  <c r="AL6" i="6"/>
  <c r="AH6" i="6"/>
  <c r="AI6" i="6"/>
  <c r="AD6" i="6"/>
  <c r="AE6" i="6"/>
  <c r="AA6" i="6"/>
  <c r="AB6" i="6"/>
  <c r="L6" i="6"/>
  <c r="D6" i="6"/>
  <c r="AK5" i="6"/>
  <c r="AL5" i="6"/>
  <c r="AH5" i="6"/>
  <c r="AI5" i="6"/>
  <c r="AD5" i="6"/>
  <c r="AE5" i="6"/>
  <c r="AA5" i="6"/>
  <c r="AB5" i="6"/>
  <c r="L5" i="6"/>
  <c r="D5" i="6"/>
  <c r="AK4" i="6"/>
  <c r="AL4" i="6"/>
  <c r="AH4" i="6"/>
  <c r="AI4" i="6"/>
  <c r="AD4" i="6"/>
  <c r="AE4" i="6"/>
  <c r="AA4" i="6"/>
  <c r="AB4" i="6"/>
  <c r="M4" i="6"/>
  <c r="M26" i="6"/>
  <c r="L4" i="6"/>
  <c r="L26" i="6"/>
  <c r="D4" i="6"/>
  <c r="AM17" i="7"/>
  <c r="AM22" i="7"/>
  <c r="AN24" i="7"/>
  <c r="AO24" i="7"/>
  <c r="AN23" i="7"/>
  <c r="AO23" i="7"/>
  <c r="AN21" i="7"/>
  <c r="AO21" i="7"/>
  <c r="AN20" i="7"/>
  <c r="AO20" i="7"/>
  <c r="AN19" i="7"/>
  <c r="AO19" i="7"/>
  <c r="AN18" i="7"/>
  <c r="AO18" i="7"/>
  <c r="AN16" i="7"/>
  <c r="AO16" i="7"/>
  <c r="AN15" i="7"/>
  <c r="AO15" i="7"/>
  <c r="AN14" i="7"/>
  <c r="AO14" i="7"/>
  <c r="AN13" i="7"/>
  <c r="AO13" i="7"/>
  <c r="AN12" i="7"/>
  <c r="AO12" i="7"/>
  <c r="AN11" i="7"/>
  <c r="AO11" i="7"/>
  <c r="AN10" i="7"/>
  <c r="AO10" i="7"/>
  <c r="AN9" i="7"/>
  <c r="AO9" i="7"/>
  <c r="AN8" i="7"/>
  <c r="AO8" i="7"/>
  <c r="AN7" i="7"/>
  <c r="AO7" i="7"/>
  <c r="AN6" i="7"/>
  <c r="AO6" i="7"/>
  <c r="AN5" i="7"/>
  <c r="AO5" i="7"/>
  <c r="AN4" i="7"/>
  <c r="AO4" i="7"/>
  <c r="AI24" i="7"/>
  <c r="AJ24" i="7"/>
  <c r="AI23" i="7"/>
  <c r="AJ23" i="7"/>
  <c r="AI21" i="7"/>
  <c r="AI20" i="7"/>
  <c r="AJ20" i="7"/>
  <c r="AI19" i="7"/>
  <c r="AI18" i="7"/>
  <c r="AL18" i="7"/>
  <c r="AI16" i="7"/>
  <c r="AL16" i="7"/>
  <c r="AI15" i="7"/>
  <c r="AI14" i="7"/>
  <c r="AJ14" i="7"/>
  <c r="AI13" i="7"/>
  <c r="AJ13" i="7"/>
  <c r="AI12" i="7"/>
  <c r="AJ12" i="7"/>
  <c r="AI11" i="7"/>
  <c r="AI10" i="7"/>
  <c r="AJ10" i="7"/>
  <c r="AI9" i="7"/>
  <c r="AJ9" i="7"/>
  <c r="AI8" i="7"/>
  <c r="AL8" i="7"/>
  <c r="AI7" i="7"/>
  <c r="AI6" i="7"/>
  <c r="AI5" i="7"/>
  <c r="AJ5" i="7"/>
  <c r="AB5" i="7"/>
  <c r="AC5" i="7"/>
  <c r="AE5" i="7"/>
  <c r="AF5" i="7"/>
  <c r="AI4" i="7"/>
  <c r="AJ4" i="7"/>
  <c r="AE24" i="7"/>
  <c r="AF24" i="7"/>
  <c r="AE23" i="7"/>
  <c r="AF23" i="7"/>
  <c r="AE21" i="7"/>
  <c r="AF21" i="7"/>
  <c r="AE20" i="7"/>
  <c r="AF20" i="7"/>
  <c r="AE19" i="7"/>
  <c r="AF19" i="7"/>
  <c r="AE18" i="7"/>
  <c r="AF18" i="7"/>
  <c r="AE16" i="7"/>
  <c r="AF16" i="7"/>
  <c r="AE15" i="7"/>
  <c r="AF15" i="7"/>
  <c r="AE14" i="7"/>
  <c r="AF14" i="7"/>
  <c r="AE13" i="7"/>
  <c r="AF13" i="7"/>
  <c r="AE12" i="7"/>
  <c r="AF12" i="7"/>
  <c r="AE11" i="7"/>
  <c r="AF11" i="7"/>
  <c r="AE10" i="7"/>
  <c r="AF10" i="7"/>
  <c r="AE9" i="7"/>
  <c r="AF9" i="7"/>
  <c r="AE8" i="7"/>
  <c r="AF8" i="7"/>
  <c r="AE7" i="7"/>
  <c r="AF7" i="7"/>
  <c r="AE6" i="7"/>
  <c r="AF6" i="7"/>
  <c r="AB6" i="7"/>
  <c r="AC6" i="7"/>
  <c r="AE4" i="7"/>
  <c r="AF4" i="7"/>
  <c r="AB24" i="7"/>
  <c r="AC24" i="7"/>
  <c r="AB23" i="7"/>
  <c r="AC23" i="7"/>
  <c r="AB20" i="7"/>
  <c r="AC20" i="7"/>
  <c r="AB21" i="7"/>
  <c r="AC21" i="7"/>
  <c r="AB19" i="7"/>
  <c r="AC19" i="7"/>
  <c r="AB18" i="7"/>
  <c r="AC18" i="7"/>
  <c r="AB14" i="7"/>
  <c r="AC14" i="7"/>
  <c r="AB15" i="7"/>
  <c r="AC15" i="7"/>
  <c r="AB16" i="7"/>
  <c r="AC16" i="7"/>
  <c r="AB13" i="7"/>
  <c r="AC13" i="7"/>
  <c r="AB12" i="7"/>
  <c r="AC12" i="7"/>
  <c r="AB11" i="7"/>
  <c r="AC11" i="7"/>
  <c r="AB10" i="7"/>
  <c r="AC10" i="7"/>
  <c r="AB9" i="7"/>
  <c r="AC9" i="7"/>
  <c r="AB8" i="7"/>
  <c r="AC8" i="7"/>
  <c r="AB7" i="7"/>
  <c r="AC7" i="7"/>
  <c r="AB4" i="7"/>
  <c r="AC4" i="7"/>
  <c r="M36" i="7"/>
  <c r="E36" i="7"/>
  <c r="D36" i="7"/>
  <c r="M35" i="7"/>
  <c r="F35" i="7"/>
  <c r="E35" i="7"/>
  <c r="D35" i="7"/>
  <c r="F31" i="7"/>
  <c r="E4" i="7"/>
  <c r="E5" i="7"/>
  <c r="E6" i="7"/>
  <c r="E7" i="7"/>
  <c r="E8" i="7"/>
  <c r="E9" i="7"/>
  <c r="E10" i="7"/>
  <c r="E13" i="7"/>
  <c r="E14" i="7"/>
  <c r="E15" i="7"/>
  <c r="E16" i="7"/>
  <c r="E18" i="7"/>
  <c r="E19" i="7"/>
  <c r="E20" i="7"/>
  <c r="E21" i="7"/>
  <c r="E23" i="7"/>
  <c r="E24" i="7"/>
  <c r="M24" i="7"/>
  <c r="D24" i="7"/>
  <c r="M23" i="7"/>
  <c r="D23" i="7"/>
  <c r="P21" i="7"/>
  <c r="M21" i="7"/>
  <c r="G21" i="7"/>
  <c r="D21" i="7"/>
  <c r="P20" i="7"/>
  <c r="M20" i="7"/>
  <c r="G20" i="7"/>
  <c r="D20" i="7"/>
  <c r="P19" i="7"/>
  <c r="M19" i="7"/>
  <c r="G19" i="7"/>
  <c r="D19" i="7"/>
  <c r="P18" i="7"/>
  <c r="P26" i="7"/>
  <c r="M18" i="7"/>
  <c r="G18" i="7"/>
  <c r="G26" i="7"/>
  <c r="D18" i="7"/>
  <c r="M16" i="7"/>
  <c r="D16" i="7"/>
  <c r="M15" i="7"/>
  <c r="J15" i="7"/>
  <c r="J26" i="7"/>
  <c r="H15" i="7"/>
  <c r="D15" i="7"/>
  <c r="M14" i="7"/>
  <c r="H14" i="7"/>
  <c r="D14" i="7"/>
  <c r="M13" i="7"/>
  <c r="D13" i="7"/>
  <c r="M12" i="7"/>
  <c r="M11" i="7"/>
  <c r="M10" i="7"/>
  <c r="D10" i="7"/>
  <c r="M9" i="7"/>
  <c r="D9" i="7"/>
  <c r="M8" i="7"/>
  <c r="D8" i="7"/>
  <c r="M7" i="7"/>
  <c r="D7" i="7"/>
  <c r="M6" i="7"/>
  <c r="D6" i="7"/>
  <c r="M5" i="7"/>
  <c r="D5" i="7"/>
  <c r="N4" i="7"/>
  <c r="N26" i="7"/>
  <c r="M4" i="7"/>
  <c r="M26" i="7"/>
  <c r="D4" i="7"/>
  <c r="Q25" i="11"/>
  <c r="Q24" i="11"/>
  <c r="K24" i="11"/>
  <c r="K23" i="11"/>
  <c r="K25" i="11"/>
  <c r="Q36" i="6"/>
  <c r="J15" i="8"/>
  <c r="J26" i="8"/>
  <c r="J38" i="8"/>
  <c r="D15" i="8"/>
  <c r="E15" i="8"/>
  <c r="H14" i="8"/>
  <c r="H15" i="8"/>
  <c r="Q6" i="11"/>
  <c r="Q7" i="11"/>
  <c r="Q8" i="11"/>
  <c r="Q9" i="11"/>
  <c r="Q10" i="11"/>
  <c r="Q11" i="11"/>
  <c r="Q12" i="11"/>
  <c r="Q13" i="11"/>
  <c r="Q14" i="11"/>
  <c r="Q15" i="11"/>
  <c r="Q16" i="11"/>
  <c r="Q17" i="11"/>
  <c r="Q18" i="11"/>
  <c r="Q19" i="11"/>
  <c r="Q20" i="11"/>
  <c r="Q21" i="11"/>
  <c r="Q22" i="11"/>
  <c r="Q23" i="11"/>
  <c r="Q5" i="11"/>
  <c r="K6" i="11"/>
  <c r="K7" i="11"/>
  <c r="K8" i="11"/>
  <c r="K9" i="11"/>
  <c r="K10" i="11"/>
  <c r="K11" i="11"/>
  <c r="K12" i="11"/>
  <c r="K13" i="11"/>
  <c r="K14" i="11"/>
  <c r="K15" i="11"/>
  <c r="K16" i="11"/>
  <c r="K17" i="11"/>
  <c r="K18" i="11"/>
  <c r="K19" i="11"/>
  <c r="K20" i="11"/>
  <c r="K21" i="11"/>
  <c r="K22" i="11"/>
  <c r="K5" i="11"/>
  <c r="I29" i="6"/>
  <c r="F31" i="8"/>
  <c r="E4" i="8"/>
  <c r="E5" i="8"/>
  <c r="E6" i="8"/>
  <c r="E7" i="8"/>
  <c r="E8" i="8"/>
  <c r="E9" i="8"/>
  <c r="E10" i="8"/>
  <c r="E13" i="8"/>
  <c r="E14" i="8"/>
  <c r="E16" i="8"/>
  <c r="E18" i="8"/>
  <c r="E19" i="8"/>
  <c r="E20" i="8"/>
  <c r="E21" i="8"/>
  <c r="E23" i="8"/>
  <c r="E24" i="8"/>
  <c r="D4" i="8"/>
  <c r="D5" i="8"/>
  <c r="D6" i="8"/>
  <c r="D7" i="8"/>
  <c r="D8" i="8"/>
  <c r="D9" i="8"/>
  <c r="D10" i="8"/>
  <c r="D13" i="8"/>
  <c r="D14" i="8"/>
  <c r="D16" i="8"/>
  <c r="D18" i="8"/>
  <c r="D19" i="8"/>
  <c r="D20" i="8"/>
  <c r="D21" i="8"/>
  <c r="D23" i="8"/>
  <c r="D24" i="8"/>
  <c r="B37" i="1"/>
  <c r="B38" i="1"/>
  <c r="B39" i="1"/>
  <c r="B36" i="1"/>
  <c r="G19" i="8"/>
  <c r="G20" i="8"/>
  <c r="G21" i="8"/>
  <c r="D39" i="1"/>
  <c r="G18" i="8"/>
  <c r="D36" i="1"/>
  <c r="F29" i="6"/>
  <c r="G29" i="6"/>
  <c r="D35" i="8"/>
  <c r="E35" i="8"/>
  <c r="F35" i="8"/>
  <c r="D36" i="8"/>
  <c r="E36" i="8"/>
  <c r="D10" i="14"/>
  <c r="J10" i="14"/>
  <c r="D16" i="14"/>
  <c r="D17" i="14"/>
  <c r="D18" i="14"/>
  <c r="H18" i="14"/>
  <c r="D5" i="14"/>
  <c r="D6" i="14"/>
  <c r="D7" i="14"/>
  <c r="F7" i="14"/>
  <c r="D8" i="14"/>
  <c r="J8" i="14"/>
  <c r="D9" i="14"/>
  <c r="N9" i="14"/>
  <c r="D12" i="14"/>
  <c r="F12" i="14"/>
  <c r="D14" i="14"/>
  <c r="D15" i="14"/>
  <c r="F15" i="14"/>
  <c r="D19" i="14"/>
  <c r="J19" i="14"/>
  <c r="D20" i="14"/>
  <c r="L20" i="14"/>
  <c r="D21" i="14"/>
  <c r="J21" i="14"/>
  <c r="D22" i="14"/>
  <c r="F22" i="14"/>
  <c r="D23" i="14"/>
  <c r="H23" i="14"/>
  <c r="D11" i="14"/>
  <c r="D13" i="14"/>
  <c r="N13" i="14"/>
  <c r="M4" i="8"/>
  <c r="M26" i="8"/>
  <c r="M5" i="8"/>
  <c r="M9" i="8"/>
  <c r="M11" i="8"/>
  <c r="M13" i="8"/>
  <c r="M15" i="8"/>
  <c r="M16" i="8"/>
  <c r="M21" i="8"/>
  <c r="E24" i="14"/>
  <c r="G24" i="14"/>
  <c r="I24" i="14"/>
  <c r="K24" i="14"/>
  <c r="M24" i="14"/>
  <c r="M18" i="8"/>
  <c r="M20" i="8"/>
  <c r="M6" i="8"/>
  <c r="H41" i="11"/>
  <c r="H39" i="11"/>
  <c r="H37" i="11"/>
  <c r="H35" i="11"/>
  <c r="H33" i="11"/>
  <c r="H31" i="11"/>
  <c r="M14" i="8"/>
  <c r="M7" i="8"/>
  <c r="M8" i="8"/>
  <c r="M19" i="8"/>
  <c r="M12" i="8"/>
  <c r="M10" i="8"/>
  <c r="M36" i="8"/>
  <c r="M35" i="8"/>
  <c r="N4" i="8"/>
  <c r="N26" i="8"/>
  <c r="M24" i="8"/>
  <c r="M23" i="8"/>
  <c r="P21" i="8"/>
  <c r="P20" i="8"/>
  <c r="P18" i="8"/>
  <c r="P26" i="8"/>
  <c r="P19" i="8"/>
  <c r="D29" i="6"/>
  <c r="J26" i="6"/>
  <c r="N14" i="7"/>
  <c r="N11" i="8"/>
  <c r="N9" i="7"/>
  <c r="N8" i="7"/>
  <c r="M6" i="6"/>
  <c r="N5" i="7"/>
  <c r="M20" i="6"/>
  <c r="N24" i="7"/>
  <c r="V9" i="6"/>
  <c r="N7" i="7"/>
  <c r="N12" i="8"/>
  <c r="N10" i="7"/>
  <c r="N35" i="8"/>
  <c r="V16" i="6"/>
  <c r="J29" i="7"/>
  <c r="J29" i="8"/>
  <c r="W18" i="8"/>
  <c r="W18" i="7"/>
  <c r="V18" i="6"/>
  <c r="H29" i="6"/>
  <c r="Q29" i="6"/>
  <c r="W5" i="8"/>
  <c r="N24" i="8"/>
  <c r="M5" i="6"/>
  <c r="M10" i="6"/>
  <c r="N11" i="7"/>
  <c r="M11" i="6"/>
  <c r="W7" i="7"/>
  <c r="N6" i="8"/>
  <c r="N20" i="7"/>
  <c r="W9" i="7"/>
  <c r="M12" i="6"/>
  <c r="N23" i="8"/>
  <c r="M35" i="6"/>
  <c r="N5" i="8"/>
  <c r="N9" i="8"/>
  <c r="W4" i="8"/>
  <c r="N23" i="7"/>
  <c r="M9" i="6"/>
  <c r="N8" i="8"/>
  <c r="W9" i="8"/>
  <c r="M23" i="6"/>
  <c r="N20" i="8"/>
  <c r="M7" i="6"/>
  <c r="M8" i="6"/>
  <c r="V11" i="6"/>
  <c r="N7" i="8"/>
  <c r="N14" i="8"/>
  <c r="W16" i="7"/>
  <c r="M24" i="6"/>
  <c r="M14" i="6"/>
  <c r="N6" i="7"/>
  <c r="V5" i="6"/>
  <c r="W23" i="7"/>
  <c r="V23" i="6"/>
  <c r="N35" i="7"/>
  <c r="N10" i="8"/>
  <c r="N12" i="7"/>
  <c r="W5" i="7"/>
  <c r="W23" i="8"/>
  <c r="W20" i="8"/>
  <c r="V20" i="6"/>
  <c r="W20" i="7"/>
  <c r="W16" i="8"/>
  <c r="V12" i="6"/>
  <c r="W12" i="7"/>
  <c r="W12" i="8"/>
  <c r="W19" i="7"/>
  <c r="W19" i="8"/>
  <c r="V19" i="6"/>
  <c r="N15" i="7"/>
  <c r="M15" i="6"/>
  <c r="N15" i="8"/>
  <c r="N18" i="7"/>
  <c r="N18" i="8"/>
  <c r="M18" i="6"/>
  <c r="V10" i="6"/>
  <c r="W10" i="7"/>
  <c r="W10" i="8"/>
  <c r="N36" i="8"/>
  <c r="M36" i="6"/>
  <c r="N36" i="7"/>
  <c r="N21" i="7"/>
  <c r="M21" i="6"/>
  <c r="N21" i="8"/>
  <c r="N13" i="7"/>
  <c r="M13" i="6"/>
  <c r="N13" i="8"/>
  <c r="N16" i="7"/>
  <c r="M16" i="6"/>
  <c r="N16" i="8"/>
  <c r="W7" i="8"/>
  <c r="V7" i="6"/>
  <c r="W11" i="8"/>
  <c r="W11" i="7"/>
  <c r="W4" i="7"/>
  <c r="V4" i="6"/>
  <c r="W6" i="7"/>
  <c r="W6" i="8"/>
  <c r="V6" i="6"/>
  <c r="V15" i="6"/>
  <c r="W15" i="8"/>
  <c r="W15" i="7"/>
  <c r="W24" i="8"/>
  <c r="V24" i="6"/>
  <c r="W24" i="7"/>
  <c r="W13" i="7"/>
  <c r="V13" i="6"/>
  <c r="W13" i="8"/>
  <c r="V14" i="6"/>
  <c r="W14" i="8"/>
  <c r="W14" i="7"/>
  <c r="W8" i="8"/>
  <c r="W8" i="7"/>
  <c r="V8" i="6"/>
  <c r="V21" i="6"/>
  <c r="W21" i="7"/>
  <c r="W21" i="8"/>
  <c r="M19" i="6"/>
  <c r="N19" i="7"/>
  <c r="N19" i="8"/>
  <c r="AJ16" i="7"/>
  <c r="AQ16" i="7"/>
  <c r="AS16" i="7"/>
  <c r="AL20" i="7"/>
  <c r="AQ20" i="7"/>
  <c r="AS20" i="7"/>
  <c r="H12" i="14"/>
  <c r="E12" i="11"/>
  <c r="AJ18" i="7"/>
  <c r="AQ18" i="7"/>
  <c r="AS18" i="7"/>
  <c r="R25" i="16"/>
  <c r="G26" i="8"/>
  <c r="G31" i="8"/>
  <c r="AL4" i="7"/>
  <c r="AQ4" i="7"/>
  <c r="AS4" i="7"/>
  <c r="Q31" i="12"/>
  <c r="AL24" i="7"/>
  <c r="AQ24" i="7"/>
  <c r="AS24" i="7"/>
  <c r="V8" i="11"/>
  <c r="Q7" i="6"/>
  <c r="T7" i="6"/>
  <c r="AL12" i="7"/>
  <c r="AQ12" i="7"/>
  <c r="AS12" i="7"/>
  <c r="H22" i="14"/>
  <c r="E22" i="18"/>
  <c r="AL23" i="7"/>
  <c r="AQ23" i="7"/>
  <c r="AS23" i="7"/>
  <c r="AN11" i="6"/>
  <c r="AP11" i="6"/>
  <c r="L22" i="14"/>
  <c r="G22" i="18"/>
  <c r="V22" i="11"/>
  <c r="Q15" i="6"/>
  <c r="T15" i="6"/>
  <c r="V14" i="11"/>
  <c r="Q10" i="6"/>
  <c r="T10" i="6"/>
  <c r="AL14" i="7"/>
  <c r="AQ14" i="7"/>
  <c r="AS14" i="7"/>
  <c r="H13" i="21"/>
  <c r="H13" i="18"/>
  <c r="D22" i="21"/>
  <c r="D22" i="18"/>
  <c r="F19" i="21"/>
  <c r="F19" i="18"/>
  <c r="D12" i="21"/>
  <c r="D12" i="18"/>
  <c r="H21" i="14"/>
  <c r="E21" i="11"/>
  <c r="D15" i="21"/>
  <c r="D15" i="18"/>
  <c r="H9" i="21"/>
  <c r="H9" i="18"/>
  <c r="F10" i="21"/>
  <c r="F10" i="18"/>
  <c r="E23" i="21"/>
  <c r="E23" i="18"/>
  <c r="F21" i="21"/>
  <c r="F21" i="18"/>
  <c r="F8" i="21"/>
  <c r="F8" i="18"/>
  <c r="E18" i="21"/>
  <c r="E18" i="18"/>
  <c r="R35" i="7"/>
  <c r="L4" i="20"/>
  <c r="L4" i="19"/>
  <c r="J22" i="14"/>
  <c r="F22" i="11"/>
  <c r="G20" i="16"/>
  <c r="G20" i="21"/>
  <c r="G20" i="18"/>
  <c r="D7" i="16"/>
  <c r="D7" i="21"/>
  <c r="D7" i="18"/>
  <c r="AN10" i="6"/>
  <c r="AP10" i="6"/>
  <c r="G31" i="7"/>
  <c r="AN4" i="6"/>
  <c r="AP4" i="6"/>
  <c r="AN20" i="6"/>
  <c r="AP20" i="6"/>
  <c r="AJ8" i="7"/>
  <c r="AQ8" i="7"/>
  <c r="AS8" i="7"/>
  <c r="AL13" i="7"/>
  <c r="AQ13" i="7"/>
  <c r="AS13" i="7"/>
  <c r="H13" i="14"/>
  <c r="AN6" i="6"/>
  <c r="AP6" i="6"/>
  <c r="F20" i="14"/>
  <c r="N22" i="14"/>
  <c r="J13" i="14"/>
  <c r="F13" i="14"/>
  <c r="D13" i="11"/>
  <c r="AL10" i="7"/>
  <c r="AQ10" i="7"/>
  <c r="AS10" i="7"/>
  <c r="R36" i="8"/>
  <c r="N21" i="14"/>
  <c r="F9" i="14"/>
  <c r="D9" i="16"/>
  <c r="J7" i="14"/>
  <c r="V20" i="11"/>
  <c r="R13" i="7"/>
  <c r="U13" i="7"/>
  <c r="L4" i="5"/>
  <c r="AL5" i="7"/>
  <c r="AQ5" i="7"/>
  <c r="AS5" i="7"/>
  <c r="AN7" i="6"/>
  <c r="AP7" i="6"/>
  <c r="G20" i="11"/>
  <c r="H20" i="14"/>
  <c r="E20" i="11"/>
  <c r="L13" i="14"/>
  <c r="N20" i="14"/>
  <c r="H7" i="14"/>
  <c r="E7" i="11"/>
  <c r="V5" i="16"/>
  <c r="V7" i="16"/>
  <c r="V11" i="16"/>
  <c r="V13" i="16"/>
  <c r="V15" i="16"/>
  <c r="V19" i="16"/>
  <c r="V21" i="16"/>
  <c r="V23" i="16"/>
  <c r="V25" i="16"/>
  <c r="J38" i="7"/>
  <c r="J31" i="7"/>
  <c r="AN21" i="6"/>
  <c r="AP21" i="6"/>
  <c r="V16" i="11"/>
  <c r="R19" i="7"/>
  <c r="U19" i="7"/>
  <c r="Q35" i="6"/>
  <c r="R35" i="8"/>
  <c r="L15" i="14"/>
  <c r="G15" i="11"/>
  <c r="H15" i="14"/>
  <c r="L18" i="8"/>
  <c r="AA18" i="8"/>
  <c r="I31" i="6"/>
  <c r="V17" i="11"/>
  <c r="R20" i="8"/>
  <c r="U20" i="8"/>
  <c r="AN13" i="6"/>
  <c r="AP13" i="6"/>
  <c r="AN18" i="6"/>
  <c r="AP18" i="6"/>
  <c r="K21" i="6"/>
  <c r="N21" i="6"/>
  <c r="P21" i="6"/>
  <c r="V8" i="16"/>
  <c r="V24" i="16"/>
  <c r="J15" i="14"/>
  <c r="V12" i="11"/>
  <c r="Q9" i="6"/>
  <c r="T9" i="6"/>
  <c r="AN14" i="6"/>
  <c r="AP14" i="6"/>
  <c r="AN15" i="6"/>
  <c r="AP15" i="6"/>
  <c r="K18" i="6"/>
  <c r="N18" i="6"/>
  <c r="P18" i="6"/>
  <c r="P26" i="6"/>
  <c r="N15" i="14"/>
  <c r="K26" i="8"/>
  <c r="K38" i="8"/>
  <c r="M38" i="7"/>
  <c r="L18" i="7"/>
  <c r="AA18" i="7"/>
  <c r="L20" i="7"/>
  <c r="O20" i="7"/>
  <c r="Q20" i="7"/>
  <c r="AJ6" i="7"/>
  <c r="AL6" i="7"/>
  <c r="AL19" i="7"/>
  <c r="AJ19" i="7"/>
  <c r="L14" i="14"/>
  <c r="H14" i="14"/>
  <c r="D15" i="16"/>
  <c r="D15" i="11"/>
  <c r="H5" i="14"/>
  <c r="J5" i="14"/>
  <c r="L5" i="14"/>
  <c r="G5" i="16"/>
  <c r="F5" i="14"/>
  <c r="N5" i="14"/>
  <c r="AJ21" i="7"/>
  <c r="AL21" i="7"/>
  <c r="AL15" i="7"/>
  <c r="AJ15" i="7"/>
  <c r="AL9" i="7"/>
  <c r="AQ9" i="7"/>
  <c r="AS9" i="7"/>
  <c r="N19" i="14"/>
  <c r="H19" i="16"/>
  <c r="H19" i="14"/>
  <c r="L19" i="14"/>
  <c r="F19" i="14"/>
  <c r="J6" i="14"/>
  <c r="H6" i="14"/>
  <c r="L6" i="14"/>
  <c r="F6" i="14"/>
  <c r="H9" i="16"/>
  <c r="H9" i="11"/>
  <c r="H16" i="14"/>
  <c r="F16" i="14"/>
  <c r="E26" i="8"/>
  <c r="E31" i="8"/>
  <c r="L29" i="7"/>
  <c r="L21" i="7"/>
  <c r="O21" i="7"/>
  <c r="Q21" i="7"/>
  <c r="M38" i="8"/>
  <c r="L12" i="14"/>
  <c r="G12" i="11"/>
  <c r="V9" i="11"/>
  <c r="V23" i="11"/>
  <c r="R16" i="7"/>
  <c r="U16" i="7"/>
  <c r="V11" i="11"/>
  <c r="R23" i="8"/>
  <c r="U23" i="8"/>
  <c r="N12" i="14"/>
  <c r="V21" i="11"/>
  <c r="R14" i="7"/>
  <c r="U14" i="7"/>
  <c r="AN8" i="6"/>
  <c r="AP8" i="6"/>
  <c r="V19" i="11"/>
  <c r="Q12" i="6"/>
  <c r="T12" i="6"/>
  <c r="V15" i="11"/>
  <c r="Q11" i="6"/>
  <c r="T11" i="6"/>
  <c r="V7" i="11"/>
  <c r="V10" i="11"/>
  <c r="V6" i="11"/>
  <c r="R5" i="8"/>
  <c r="U5" i="8"/>
  <c r="K26" i="7"/>
  <c r="K38" i="7"/>
  <c r="L19" i="7"/>
  <c r="O19" i="7"/>
  <c r="Q19" i="7"/>
  <c r="G26" i="6"/>
  <c r="G31" i="6"/>
  <c r="AN19" i="6"/>
  <c r="AP19" i="6"/>
  <c r="V16" i="16"/>
  <c r="E23" i="16"/>
  <c r="E23" i="11"/>
  <c r="E18" i="16"/>
  <c r="E18" i="11"/>
  <c r="F21" i="16"/>
  <c r="F21" i="11"/>
  <c r="E26" i="7"/>
  <c r="E31" i="7"/>
  <c r="J11" i="14"/>
  <c r="F11" i="14"/>
  <c r="H11" i="14"/>
  <c r="L11" i="14"/>
  <c r="N11" i="14"/>
  <c r="D24" i="14"/>
  <c r="E25" i="14"/>
  <c r="H26" i="7"/>
  <c r="H31" i="7"/>
  <c r="L23" i="14"/>
  <c r="N23" i="14"/>
  <c r="F23" i="14"/>
  <c r="J23" i="14"/>
  <c r="AL16" i="6"/>
  <c r="AN16" i="6"/>
  <c r="AP16" i="6"/>
  <c r="F18" i="14"/>
  <c r="J18" i="14"/>
  <c r="N18" i="14"/>
  <c r="L18" i="14"/>
  <c r="D26" i="8"/>
  <c r="D31" i="8"/>
  <c r="D26" i="6"/>
  <c r="D31" i="6"/>
  <c r="F8" i="11"/>
  <c r="F8" i="16"/>
  <c r="J17" i="14"/>
  <c r="L17" i="14"/>
  <c r="H17" i="14"/>
  <c r="F17" i="14"/>
  <c r="N17" i="14"/>
  <c r="V5" i="11"/>
  <c r="AL23" i="6"/>
  <c r="AN23" i="6"/>
  <c r="AP23" i="6"/>
  <c r="R25" i="11"/>
  <c r="M24" i="11"/>
  <c r="L24" i="11"/>
  <c r="S24" i="11"/>
  <c r="R24" i="11"/>
  <c r="L25" i="11"/>
  <c r="S25" i="11"/>
  <c r="M25" i="11"/>
  <c r="H8" i="14"/>
  <c r="N8" i="14"/>
  <c r="L8" i="14"/>
  <c r="F8" i="14"/>
  <c r="AI9" i="6"/>
  <c r="AN9" i="6"/>
  <c r="AP9" i="6"/>
  <c r="J31" i="8"/>
  <c r="F19" i="11"/>
  <c r="F19" i="16"/>
  <c r="D12" i="11"/>
  <c r="D12" i="16"/>
  <c r="H10" i="14"/>
  <c r="L10" i="14"/>
  <c r="N10" i="14"/>
  <c r="F10" i="14"/>
  <c r="H26" i="8"/>
  <c r="H31" i="8"/>
  <c r="AL11" i="7"/>
  <c r="AJ11" i="7"/>
  <c r="AN24" i="6"/>
  <c r="AP24" i="6"/>
  <c r="E26" i="6"/>
  <c r="E31" i="6"/>
  <c r="L21" i="14"/>
  <c r="F21" i="14"/>
  <c r="F14" i="14"/>
  <c r="J14" i="14"/>
  <c r="N14" i="14"/>
  <c r="N38" i="7"/>
  <c r="AJ7" i="7"/>
  <c r="AL7" i="7"/>
  <c r="D22" i="11"/>
  <c r="D22" i="16"/>
  <c r="J38" i="6"/>
  <c r="L16" i="14"/>
  <c r="J16" i="14"/>
  <c r="N16" i="14"/>
  <c r="AN12" i="6"/>
  <c r="AP12" i="6"/>
  <c r="J9" i="14"/>
  <c r="L9" i="14"/>
  <c r="H9" i="14"/>
  <c r="F10" i="11"/>
  <c r="F10" i="16"/>
  <c r="AN5" i="6"/>
  <c r="AP5" i="6"/>
  <c r="K19" i="6"/>
  <c r="V9" i="16"/>
  <c r="J20" i="14"/>
  <c r="D7" i="11"/>
  <c r="V18" i="11"/>
  <c r="V13" i="11"/>
  <c r="V24" i="11"/>
  <c r="K20" i="6"/>
  <c r="N20" i="6"/>
  <c r="P20" i="6"/>
  <c r="L4" i="15"/>
  <c r="H13" i="11"/>
  <c r="H13" i="16"/>
  <c r="J12" i="14"/>
  <c r="N7" i="14"/>
  <c r="L21" i="8"/>
  <c r="O21" i="8"/>
  <c r="Q21" i="8"/>
  <c r="D26" i="7"/>
  <c r="D31" i="7"/>
  <c r="G61" i="12"/>
  <c r="L7" i="14"/>
  <c r="N6" i="14"/>
  <c r="V17" i="16"/>
  <c r="V10" i="16"/>
  <c r="V18" i="16"/>
  <c r="V6" i="16"/>
  <c r="V14" i="16"/>
  <c r="V22" i="16"/>
  <c r="V12" i="16"/>
  <c r="V20" i="16"/>
  <c r="S25" i="16"/>
  <c r="M25" i="16"/>
  <c r="R24" i="16"/>
  <c r="L24" i="16"/>
  <c r="S24" i="16"/>
  <c r="M24" i="16"/>
  <c r="K29" i="6"/>
  <c r="L25" i="16"/>
  <c r="V25" i="11"/>
  <c r="R36" i="7"/>
  <c r="L5" i="5"/>
  <c r="M38" i="6"/>
  <c r="N38" i="8"/>
  <c r="D37" i="1"/>
  <c r="L19" i="8"/>
  <c r="F31" i="6"/>
  <c r="L38" i="6"/>
  <c r="D38" i="1"/>
  <c r="L20" i="8"/>
  <c r="L29" i="8"/>
  <c r="G22" i="16"/>
  <c r="E22" i="21"/>
  <c r="E7" i="16"/>
  <c r="R15" i="8"/>
  <c r="U15" i="8"/>
  <c r="R9" i="7"/>
  <c r="U9" i="7"/>
  <c r="E12" i="16"/>
  <c r="E12" i="18"/>
  <c r="R12" i="8"/>
  <c r="U12" i="8"/>
  <c r="E12" i="21"/>
  <c r="D9" i="11"/>
  <c r="T25" i="16"/>
  <c r="D13" i="16"/>
  <c r="E21" i="16"/>
  <c r="H19" i="11"/>
  <c r="E22" i="11"/>
  <c r="Q20" i="6"/>
  <c r="T20" i="6"/>
  <c r="E22" i="16"/>
  <c r="G15" i="16"/>
  <c r="R15" i="7"/>
  <c r="U15" i="7"/>
  <c r="I25" i="14"/>
  <c r="R9" i="8"/>
  <c r="U9" i="8"/>
  <c r="R7" i="8"/>
  <c r="U7" i="8"/>
  <c r="G22" i="21"/>
  <c r="O18" i="7"/>
  <c r="Q18" i="7"/>
  <c r="Q26" i="7"/>
  <c r="R7" i="7"/>
  <c r="U7" i="7"/>
  <c r="G22" i="11"/>
  <c r="R20" i="7"/>
  <c r="U20" i="7"/>
  <c r="R10" i="7"/>
  <c r="U10" i="7"/>
  <c r="Q19" i="6"/>
  <c r="T19" i="6"/>
  <c r="R10" i="8"/>
  <c r="U10" i="8"/>
  <c r="R11" i="7"/>
  <c r="U11" i="7"/>
  <c r="AQ19" i="7"/>
  <c r="AS19" i="7"/>
  <c r="G7" i="21"/>
  <c r="G7" i="18"/>
  <c r="H7" i="21"/>
  <c r="H7" i="18"/>
  <c r="F9" i="21"/>
  <c r="F9" i="18"/>
  <c r="H16" i="21"/>
  <c r="H16" i="18"/>
  <c r="H14" i="21"/>
  <c r="H14" i="18"/>
  <c r="G21" i="21"/>
  <c r="G21" i="18"/>
  <c r="H10" i="21"/>
  <c r="H10" i="18"/>
  <c r="H8" i="21"/>
  <c r="H8" i="18"/>
  <c r="E17" i="21"/>
  <c r="E17" i="18"/>
  <c r="F18" i="21"/>
  <c r="F18" i="18"/>
  <c r="F23" i="21"/>
  <c r="F23" i="18"/>
  <c r="E11" i="21"/>
  <c r="E11" i="18"/>
  <c r="G6" i="21"/>
  <c r="G6" i="18"/>
  <c r="G19" i="21"/>
  <c r="G19" i="18"/>
  <c r="H5" i="16"/>
  <c r="H5" i="21"/>
  <c r="H5" i="18"/>
  <c r="E5" i="21"/>
  <c r="E5" i="18"/>
  <c r="G15" i="21"/>
  <c r="G15" i="18"/>
  <c r="H20" i="21"/>
  <c r="H20" i="18"/>
  <c r="E20" i="16"/>
  <c r="E20" i="21"/>
  <c r="E20" i="18"/>
  <c r="H21" i="16"/>
  <c r="H21" i="21"/>
  <c r="H21" i="18"/>
  <c r="F13" i="11"/>
  <c r="F13" i="21"/>
  <c r="F13" i="18"/>
  <c r="E13" i="21"/>
  <c r="E13" i="18"/>
  <c r="F12" i="21"/>
  <c r="F12" i="18"/>
  <c r="F16" i="21"/>
  <c r="F16" i="18"/>
  <c r="F14" i="21"/>
  <c r="F14" i="18"/>
  <c r="G10" i="21"/>
  <c r="G10" i="18"/>
  <c r="E8" i="21"/>
  <c r="E8" i="18"/>
  <c r="G17" i="21"/>
  <c r="G17" i="18"/>
  <c r="D18" i="21"/>
  <c r="D18" i="18"/>
  <c r="D23" i="21"/>
  <c r="D23" i="18"/>
  <c r="D11" i="21"/>
  <c r="D11" i="18"/>
  <c r="E6" i="21"/>
  <c r="E6" i="18"/>
  <c r="E19" i="21"/>
  <c r="E19" i="18"/>
  <c r="D5" i="21"/>
  <c r="D5" i="18"/>
  <c r="E14" i="16"/>
  <c r="E14" i="21"/>
  <c r="E14" i="18"/>
  <c r="H15" i="21"/>
  <c r="H15" i="18"/>
  <c r="H22" i="16"/>
  <c r="H22" i="21"/>
  <c r="H22" i="18"/>
  <c r="E9" i="21"/>
  <c r="E9" i="18"/>
  <c r="G16" i="21"/>
  <c r="G16" i="18"/>
  <c r="D14" i="21"/>
  <c r="D14" i="18"/>
  <c r="E10" i="21"/>
  <c r="E10" i="18"/>
  <c r="D8" i="21"/>
  <c r="D8" i="18"/>
  <c r="H17" i="21"/>
  <c r="H17" i="18"/>
  <c r="F17" i="21"/>
  <c r="F17" i="18"/>
  <c r="G18" i="21"/>
  <c r="G18" i="18"/>
  <c r="H23" i="21"/>
  <c r="H23" i="18"/>
  <c r="H11" i="21"/>
  <c r="H11" i="18"/>
  <c r="F11" i="21"/>
  <c r="F11" i="18"/>
  <c r="R14" i="8"/>
  <c r="U14" i="8"/>
  <c r="H12" i="16"/>
  <c r="H12" i="21"/>
  <c r="H12" i="18"/>
  <c r="D16" i="21"/>
  <c r="D16" i="18"/>
  <c r="F6" i="21"/>
  <c r="F6" i="18"/>
  <c r="H19" i="21"/>
  <c r="H19" i="18"/>
  <c r="G5" i="11"/>
  <c r="G5" i="21"/>
  <c r="G5" i="18"/>
  <c r="G14" i="21"/>
  <c r="G14" i="18"/>
  <c r="F15" i="21"/>
  <c r="F15" i="18"/>
  <c r="F7" i="16"/>
  <c r="F7" i="21"/>
  <c r="F7" i="18"/>
  <c r="D20" i="11"/>
  <c r="D20" i="21"/>
  <c r="D20" i="18"/>
  <c r="E21" i="21"/>
  <c r="E21" i="18"/>
  <c r="H6" i="21"/>
  <c r="H6" i="18"/>
  <c r="F20" i="21"/>
  <c r="F20" i="18"/>
  <c r="G9" i="21"/>
  <c r="G9" i="18"/>
  <c r="D21" i="21"/>
  <c r="D21" i="18"/>
  <c r="D10" i="21"/>
  <c r="D10" i="18"/>
  <c r="G8" i="21"/>
  <c r="G8" i="18"/>
  <c r="D17" i="21"/>
  <c r="D17" i="18"/>
  <c r="H18" i="21"/>
  <c r="H18" i="18"/>
  <c r="G23" i="21"/>
  <c r="G23" i="18"/>
  <c r="G11" i="21"/>
  <c r="G11" i="18"/>
  <c r="G12" i="16"/>
  <c r="G12" i="21"/>
  <c r="G12" i="18"/>
  <c r="E16" i="16"/>
  <c r="E16" i="21"/>
  <c r="E16" i="18"/>
  <c r="D6" i="16"/>
  <c r="D6" i="21"/>
  <c r="D6" i="18"/>
  <c r="D19" i="11"/>
  <c r="D19" i="21"/>
  <c r="D19" i="18"/>
  <c r="AQ21" i="7"/>
  <c r="AS21" i="7"/>
  <c r="F5" i="16"/>
  <c r="F5" i="21"/>
  <c r="F5" i="18"/>
  <c r="E15" i="11"/>
  <c r="E15" i="21"/>
  <c r="E15" i="18"/>
  <c r="E7" i="21"/>
  <c r="E7" i="18"/>
  <c r="G13" i="16"/>
  <c r="G13" i="21"/>
  <c r="G13" i="18"/>
  <c r="D9" i="21"/>
  <c r="D9" i="18"/>
  <c r="D13" i="21"/>
  <c r="D13" i="18"/>
  <c r="F22" i="16"/>
  <c r="F22" i="21"/>
  <c r="F22" i="18"/>
  <c r="F7" i="11"/>
  <c r="Q5" i="6"/>
  <c r="T5" i="6"/>
  <c r="AQ15" i="7"/>
  <c r="AS15" i="7"/>
  <c r="R5" i="7"/>
  <c r="U5" i="7"/>
  <c r="D20" i="16"/>
  <c r="E16" i="11"/>
  <c r="R23" i="7"/>
  <c r="U23" i="7"/>
  <c r="H12" i="11"/>
  <c r="R19" i="8"/>
  <c r="U19" i="8"/>
  <c r="H21" i="11"/>
  <c r="Q13" i="6"/>
  <c r="T13" i="6"/>
  <c r="H22" i="11"/>
  <c r="G13" i="11"/>
  <c r="H20" i="16"/>
  <c r="H20" i="11"/>
  <c r="E13" i="16"/>
  <c r="E13" i="11"/>
  <c r="Q23" i="6"/>
  <c r="T23" i="6"/>
  <c r="F13" i="16"/>
  <c r="D6" i="11"/>
  <c r="D19" i="16"/>
  <c r="R13" i="8"/>
  <c r="U13" i="8"/>
  <c r="O18" i="8"/>
  <c r="Q18" i="8"/>
  <c r="Q26" i="8"/>
  <c r="H5" i="11"/>
  <c r="Q14" i="6"/>
  <c r="T14" i="6"/>
  <c r="E15" i="16"/>
  <c r="H15" i="16"/>
  <c r="H15" i="11"/>
  <c r="E14" i="11"/>
  <c r="AQ6" i="7"/>
  <c r="AS6" i="7"/>
  <c r="F15" i="16"/>
  <c r="F15" i="11"/>
  <c r="N19" i="6"/>
  <c r="P19" i="6"/>
  <c r="R8" i="8"/>
  <c r="U8" i="8"/>
  <c r="Q8" i="6"/>
  <c r="T8" i="6"/>
  <c r="R8" i="7"/>
  <c r="U8" i="7"/>
  <c r="G6" i="11"/>
  <c r="G6" i="16"/>
  <c r="G19" i="16"/>
  <c r="G19" i="11"/>
  <c r="F5" i="11"/>
  <c r="R11" i="8"/>
  <c r="U11" i="8"/>
  <c r="R16" i="8"/>
  <c r="U16" i="8"/>
  <c r="R18" i="7"/>
  <c r="Q18" i="6"/>
  <c r="R18" i="8"/>
  <c r="D16" i="11"/>
  <c r="D16" i="16"/>
  <c r="E6" i="16"/>
  <c r="E6" i="11"/>
  <c r="E19" i="16"/>
  <c r="E19" i="11"/>
  <c r="E5" i="16"/>
  <c r="E5" i="11"/>
  <c r="G14" i="11"/>
  <c r="G14" i="16"/>
  <c r="T25" i="11"/>
  <c r="AQ7" i="7"/>
  <c r="AS7" i="7"/>
  <c r="Q16" i="6"/>
  <c r="T16" i="6"/>
  <c r="AQ11" i="7"/>
  <c r="AS11" i="7"/>
  <c r="R12" i="7"/>
  <c r="U12" i="7"/>
  <c r="Q6" i="6"/>
  <c r="T6" i="6"/>
  <c r="R6" i="7"/>
  <c r="U6" i="7"/>
  <c r="R6" i="8"/>
  <c r="U6" i="8"/>
  <c r="F6" i="16"/>
  <c r="F6" i="11"/>
  <c r="D5" i="16"/>
  <c r="D5" i="11"/>
  <c r="H16" i="16"/>
  <c r="H16" i="11"/>
  <c r="H10" i="11"/>
  <c r="H10" i="16"/>
  <c r="R24" i="8"/>
  <c r="U24" i="8"/>
  <c r="R24" i="7"/>
  <c r="U24" i="7"/>
  <c r="Q24" i="6"/>
  <c r="T24" i="6"/>
  <c r="F16" i="11"/>
  <c r="F16" i="16"/>
  <c r="G10" i="16"/>
  <c r="G10" i="11"/>
  <c r="D17" i="16"/>
  <c r="D17" i="11"/>
  <c r="F18" i="11"/>
  <c r="F18" i="16"/>
  <c r="T19" i="7"/>
  <c r="V19" i="7"/>
  <c r="X19" i="7"/>
  <c r="AD19" i="7"/>
  <c r="H7" i="11"/>
  <c r="H7" i="16"/>
  <c r="R21" i="8"/>
  <c r="U21" i="8"/>
  <c r="R21" i="7"/>
  <c r="Q21" i="6"/>
  <c r="G16" i="16"/>
  <c r="G16" i="11"/>
  <c r="D21" i="16"/>
  <c r="D21" i="11"/>
  <c r="E10" i="16"/>
  <c r="E10" i="11"/>
  <c r="N24" i="11"/>
  <c r="E17" i="16"/>
  <c r="E17" i="11"/>
  <c r="D18" i="16"/>
  <c r="D18" i="11"/>
  <c r="F23" i="16"/>
  <c r="F23" i="11"/>
  <c r="K25" i="14"/>
  <c r="M25" i="14"/>
  <c r="G25" i="14"/>
  <c r="G7" i="16"/>
  <c r="G7" i="11"/>
  <c r="D14" i="16"/>
  <c r="D14" i="11"/>
  <c r="E8" i="16"/>
  <c r="E8" i="11"/>
  <c r="H17" i="16"/>
  <c r="H17" i="11"/>
  <c r="H18" i="16"/>
  <c r="H18" i="11"/>
  <c r="D23" i="16"/>
  <c r="D23" i="11"/>
  <c r="H11" i="16"/>
  <c r="H11" i="11"/>
  <c r="F17" i="16"/>
  <c r="F17" i="11"/>
  <c r="G9" i="16"/>
  <c r="G9" i="11"/>
  <c r="D8" i="11"/>
  <c r="D8" i="16"/>
  <c r="N25" i="11"/>
  <c r="G23" i="11"/>
  <c r="G23" i="16"/>
  <c r="E11" i="11"/>
  <c r="E11" i="16"/>
  <c r="F12" i="16"/>
  <c r="F12" i="11"/>
  <c r="R12" i="11"/>
  <c r="G21" i="16"/>
  <c r="G21" i="11"/>
  <c r="G17" i="16"/>
  <c r="G17" i="11"/>
  <c r="F20" i="11"/>
  <c r="F20" i="16"/>
  <c r="H23" i="11"/>
  <c r="H23" i="16"/>
  <c r="G11" i="16"/>
  <c r="G11" i="11"/>
  <c r="F9" i="16"/>
  <c r="F9" i="11"/>
  <c r="H14" i="16"/>
  <c r="H14" i="11"/>
  <c r="G8" i="16"/>
  <c r="G8" i="11"/>
  <c r="T24" i="11"/>
  <c r="D11" i="11"/>
  <c r="D11" i="16"/>
  <c r="E9" i="16"/>
  <c r="E9" i="11"/>
  <c r="H6" i="16"/>
  <c r="H6" i="11"/>
  <c r="F14" i="16"/>
  <c r="F14" i="11"/>
  <c r="D10" i="16"/>
  <c r="D10" i="11"/>
  <c r="H8" i="16"/>
  <c r="H8" i="11"/>
  <c r="R4" i="7"/>
  <c r="Q4" i="6"/>
  <c r="R4" i="8"/>
  <c r="G18" i="16"/>
  <c r="G18" i="11"/>
  <c r="F11" i="16"/>
  <c r="F11" i="11"/>
  <c r="N25" i="16"/>
  <c r="U25" i="16"/>
  <c r="H5" i="19"/>
  <c r="T24" i="16"/>
  <c r="N24" i="16"/>
  <c r="O19" i="8"/>
  <c r="Q19" i="8"/>
  <c r="T20" i="8"/>
  <c r="V20" i="8"/>
  <c r="X20" i="8"/>
  <c r="Z20" i="8"/>
  <c r="AA20" i="8"/>
  <c r="O20" i="8"/>
  <c r="Q20" i="8"/>
  <c r="S7" i="18"/>
  <c r="S12" i="18"/>
  <c r="S20" i="6"/>
  <c r="U20" i="6"/>
  <c r="W20" i="6"/>
  <c r="AM20" i="6"/>
  <c r="R12" i="21"/>
  <c r="M20" i="11"/>
  <c r="T20" i="7"/>
  <c r="V20" i="7"/>
  <c r="X20" i="7"/>
  <c r="Z20" i="7"/>
  <c r="AA20" i="7"/>
  <c r="S22" i="21"/>
  <c r="L13" i="11"/>
  <c r="L22" i="16"/>
  <c r="L13" i="16"/>
  <c r="R22" i="11"/>
  <c r="S22" i="18"/>
  <c r="T19" i="8"/>
  <c r="V19" i="8"/>
  <c r="X19" i="8"/>
  <c r="Z19" i="8"/>
  <c r="AA19" i="8"/>
  <c r="M5" i="16"/>
  <c r="R19" i="16"/>
  <c r="R13" i="11"/>
  <c r="R13" i="16"/>
  <c r="S22" i="11"/>
  <c r="M13" i="16"/>
  <c r="M22" i="11"/>
  <c r="L22" i="11"/>
  <c r="S13" i="16"/>
  <c r="S19" i="6"/>
  <c r="U19" i="6"/>
  <c r="W19" i="6"/>
  <c r="AC19" i="6"/>
  <c r="R7" i="21"/>
  <c r="M5" i="11"/>
  <c r="L15" i="18"/>
  <c r="R7" i="18"/>
  <c r="R22" i="16"/>
  <c r="M15" i="16"/>
  <c r="S22" i="16"/>
  <c r="M7" i="18"/>
  <c r="L19" i="11"/>
  <c r="M22" i="16"/>
  <c r="L7" i="18"/>
  <c r="R15" i="21"/>
  <c r="S14" i="18"/>
  <c r="K5" i="19"/>
  <c r="R13" i="18"/>
  <c r="M13" i="18"/>
  <c r="S13" i="18"/>
  <c r="L13" i="18"/>
  <c r="R19" i="18"/>
  <c r="M19" i="18"/>
  <c r="S19" i="18"/>
  <c r="L19" i="18"/>
  <c r="R6" i="21"/>
  <c r="L6" i="21"/>
  <c r="S6" i="21"/>
  <c r="M6" i="21"/>
  <c r="R21" i="18"/>
  <c r="M21" i="18"/>
  <c r="S21" i="18"/>
  <c r="L21" i="18"/>
  <c r="M22" i="21"/>
  <c r="M12" i="21"/>
  <c r="S16" i="21"/>
  <c r="L16" i="21"/>
  <c r="R16" i="21"/>
  <c r="M16" i="21"/>
  <c r="L22" i="18"/>
  <c r="L12" i="18"/>
  <c r="L15" i="21"/>
  <c r="R5" i="21"/>
  <c r="L5" i="21"/>
  <c r="S5" i="21"/>
  <c r="M5" i="21"/>
  <c r="S23" i="21"/>
  <c r="M23" i="21"/>
  <c r="L23" i="21"/>
  <c r="R23" i="21"/>
  <c r="M15" i="18"/>
  <c r="M7" i="21"/>
  <c r="R13" i="21"/>
  <c r="L13" i="21"/>
  <c r="S13" i="21"/>
  <c r="M13" i="21"/>
  <c r="S19" i="21"/>
  <c r="M19" i="21"/>
  <c r="L19" i="21"/>
  <c r="R19" i="21"/>
  <c r="S21" i="21"/>
  <c r="L21" i="21"/>
  <c r="M21" i="21"/>
  <c r="R21" i="21"/>
  <c r="R22" i="21"/>
  <c r="S12" i="21"/>
  <c r="S8" i="18"/>
  <c r="M8" i="18"/>
  <c r="R8" i="18"/>
  <c r="L8" i="18"/>
  <c r="M14" i="18"/>
  <c r="L14" i="18"/>
  <c r="R14" i="18"/>
  <c r="R22" i="18"/>
  <c r="R12" i="18"/>
  <c r="M15" i="21"/>
  <c r="M11" i="18"/>
  <c r="L11" i="18"/>
  <c r="R11" i="18"/>
  <c r="S11" i="18"/>
  <c r="M18" i="18"/>
  <c r="R18" i="18"/>
  <c r="L18" i="18"/>
  <c r="S15" i="18"/>
  <c r="S7" i="21"/>
  <c r="L6" i="11"/>
  <c r="L19" i="16"/>
  <c r="M9" i="18"/>
  <c r="S9" i="18"/>
  <c r="L9" i="18"/>
  <c r="R9" i="18"/>
  <c r="R17" i="18"/>
  <c r="S17" i="18"/>
  <c r="M17" i="18"/>
  <c r="L17" i="18"/>
  <c r="M10" i="18"/>
  <c r="R10" i="18"/>
  <c r="L10" i="18"/>
  <c r="S10" i="18"/>
  <c r="L22" i="21"/>
  <c r="L12" i="21"/>
  <c r="M20" i="18"/>
  <c r="L20" i="18"/>
  <c r="R20" i="18"/>
  <c r="R8" i="21"/>
  <c r="L8" i="21"/>
  <c r="S8" i="21"/>
  <c r="M8" i="21"/>
  <c r="S14" i="21"/>
  <c r="L14" i="21"/>
  <c r="R14" i="21"/>
  <c r="M14" i="21"/>
  <c r="M22" i="18"/>
  <c r="M12" i="18"/>
  <c r="S15" i="21"/>
  <c r="R11" i="21"/>
  <c r="L11" i="21"/>
  <c r="S11" i="21"/>
  <c r="M11" i="21"/>
  <c r="S18" i="21"/>
  <c r="L18" i="21"/>
  <c r="R18" i="21"/>
  <c r="M18" i="21"/>
  <c r="R15" i="18"/>
  <c r="T15" i="18"/>
  <c r="L7" i="21"/>
  <c r="R9" i="21"/>
  <c r="L9" i="21"/>
  <c r="S9" i="21"/>
  <c r="M9" i="21"/>
  <c r="S6" i="18"/>
  <c r="M6" i="18"/>
  <c r="L6" i="18"/>
  <c r="R6" i="18"/>
  <c r="S17" i="21"/>
  <c r="L17" i="21"/>
  <c r="M17" i="21"/>
  <c r="R17" i="21"/>
  <c r="R10" i="21"/>
  <c r="L10" i="21"/>
  <c r="S10" i="21"/>
  <c r="M10" i="21"/>
  <c r="S20" i="21"/>
  <c r="L20" i="21"/>
  <c r="R20" i="21"/>
  <c r="M20" i="21"/>
  <c r="M16" i="18"/>
  <c r="R16" i="18"/>
  <c r="L16" i="18"/>
  <c r="S18" i="18"/>
  <c r="S16" i="18"/>
  <c r="M5" i="18"/>
  <c r="R5" i="18"/>
  <c r="S5" i="18"/>
  <c r="L5" i="18"/>
  <c r="R23" i="18"/>
  <c r="S23" i="18"/>
  <c r="M23" i="18"/>
  <c r="L23" i="18"/>
  <c r="S20" i="18"/>
  <c r="R7" i="16"/>
  <c r="S13" i="11"/>
  <c r="M13" i="11"/>
  <c r="R20" i="16"/>
  <c r="S19" i="11"/>
  <c r="S15" i="16"/>
  <c r="M19" i="11"/>
  <c r="U25" i="11"/>
  <c r="H5" i="5"/>
  <c r="K5" i="5"/>
  <c r="M15" i="11"/>
  <c r="S15" i="11"/>
  <c r="R15" i="16"/>
  <c r="L15" i="16"/>
  <c r="M9" i="11"/>
  <c r="R5" i="16"/>
  <c r="L7" i="11"/>
  <c r="M19" i="16"/>
  <c r="S16" i="11"/>
  <c r="R15" i="11"/>
  <c r="L15" i="11"/>
  <c r="S20" i="16"/>
  <c r="L5" i="11"/>
  <c r="S5" i="11"/>
  <c r="U18" i="8"/>
  <c r="T18" i="8"/>
  <c r="V18" i="8"/>
  <c r="X18" i="8"/>
  <c r="Z19" i="7"/>
  <c r="AA19" i="7"/>
  <c r="M12" i="11"/>
  <c r="L9" i="11"/>
  <c r="M7" i="16"/>
  <c r="R19" i="11"/>
  <c r="S19" i="16"/>
  <c r="S7" i="11"/>
  <c r="S20" i="11"/>
  <c r="L16" i="11"/>
  <c r="S5" i="16"/>
  <c r="T18" i="6"/>
  <c r="S18" i="6"/>
  <c r="U18" i="6"/>
  <c r="W18" i="6"/>
  <c r="R5" i="11"/>
  <c r="S6" i="11"/>
  <c r="L5" i="16"/>
  <c r="M20" i="16"/>
  <c r="S7" i="16"/>
  <c r="S12" i="11"/>
  <c r="T12" i="11"/>
  <c r="T21" i="8"/>
  <c r="V21" i="8"/>
  <c r="X21" i="8"/>
  <c r="Z21" i="8"/>
  <c r="AA21" i="8"/>
  <c r="L7" i="16"/>
  <c r="U24" i="11"/>
  <c r="U18" i="7"/>
  <c r="T18" i="7"/>
  <c r="V18" i="7"/>
  <c r="X18" i="7"/>
  <c r="T4" i="6"/>
  <c r="Q26" i="6"/>
  <c r="Q31" i="6"/>
  <c r="R9" i="16"/>
  <c r="M9" i="16"/>
  <c r="L9" i="16"/>
  <c r="R18" i="11"/>
  <c r="S18" i="11"/>
  <c r="L18" i="11"/>
  <c r="M18" i="11"/>
  <c r="R26" i="7"/>
  <c r="R31" i="7"/>
  <c r="U4" i="7"/>
  <c r="M6" i="11"/>
  <c r="R9" i="11"/>
  <c r="R8" i="16"/>
  <c r="M8" i="16"/>
  <c r="L8" i="16"/>
  <c r="S8" i="16"/>
  <c r="S18" i="16"/>
  <c r="R18" i="16"/>
  <c r="M18" i="16"/>
  <c r="L18" i="16"/>
  <c r="W25" i="16"/>
  <c r="H5" i="15"/>
  <c r="M6" i="16"/>
  <c r="R6" i="16"/>
  <c r="L6" i="16"/>
  <c r="S6" i="16"/>
  <c r="M8" i="11"/>
  <c r="R8" i="11"/>
  <c r="L8" i="11"/>
  <c r="S8" i="11"/>
  <c r="AG19" i="7"/>
  <c r="AH19" i="7"/>
  <c r="AP19" i="7"/>
  <c r="AK19" i="7"/>
  <c r="AM19" i="7"/>
  <c r="S16" i="16"/>
  <c r="L16" i="16"/>
  <c r="R16" i="16"/>
  <c r="M16" i="16"/>
  <c r="S9" i="11"/>
  <c r="M23" i="16"/>
  <c r="S23" i="16"/>
  <c r="L23" i="16"/>
  <c r="R23" i="16"/>
  <c r="R10" i="11"/>
  <c r="L10" i="11"/>
  <c r="M10" i="11"/>
  <c r="S10" i="11"/>
  <c r="S11" i="11"/>
  <c r="L11" i="11"/>
  <c r="M11" i="11"/>
  <c r="R11" i="11"/>
  <c r="M7" i="11"/>
  <c r="R20" i="11"/>
  <c r="R14" i="16"/>
  <c r="S14" i="16"/>
  <c r="M14" i="16"/>
  <c r="L14" i="16"/>
  <c r="U24" i="16"/>
  <c r="W24" i="16"/>
  <c r="S21" i="11"/>
  <c r="M21" i="11"/>
  <c r="L21" i="11"/>
  <c r="R21" i="11"/>
  <c r="R16" i="11"/>
  <c r="R11" i="16"/>
  <c r="M11" i="16"/>
  <c r="L11" i="16"/>
  <c r="S11" i="16"/>
  <c r="M21" i="16"/>
  <c r="R21" i="16"/>
  <c r="L21" i="16"/>
  <c r="S21" i="16"/>
  <c r="U21" i="7"/>
  <c r="T21" i="7"/>
  <c r="V21" i="7"/>
  <c r="X21" i="7"/>
  <c r="S10" i="16"/>
  <c r="L10" i="16"/>
  <c r="R10" i="16"/>
  <c r="M10" i="16"/>
  <c r="R6" i="11"/>
  <c r="T6" i="11"/>
  <c r="L12" i="11"/>
  <c r="L12" i="16"/>
  <c r="M12" i="16"/>
  <c r="S12" i="16"/>
  <c r="R12" i="16"/>
  <c r="M16" i="11"/>
  <c r="R7" i="11"/>
  <c r="L20" i="11"/>
  <c r="S17" i="11"/>
  <c r="R17" i="11"/>
  <c r="M17" i="11"/>
  <c r="L17" i="11"/>
  <c r="S9" i="16"/>
  <c r="R23" i="11"/>
  <c r="L23" i="11"/>
  <c r="M23" i="11"/>
  <c r="S23" i="11"/>
  <c r="T21" i="6"/>
  <c r="S21" i="6"/>
  <c r="U21" i="6"/>
  <c r="W21" i="6"/>
  <c r="U4" i="8"/>
  <c r="R26" i="8"/>
  <c r="R31" i="8"/>
  <c r="M14" i="11"/>
  <c r="S14" i="11"/>
  <c r="L14" i="11"/>
  <c r="R14" i="11"/>
  <c r="S17" i="16"/>
  <c r="R17" i="16"/>
  <c r="M17" i="16"/>
  <c r="L17" i="16"/>
  <c r="L20" i="16"/>
  <c r="T7" i="18"/>
  <c r="AC20" i="6"/>
  <c r="AJ20" i="6"/>
  <c r="AO20" i="6"/>
  <c r="AF20" i="6"/>
  <c r="N5" i="16"/>
  <c r="T12" i="21"/>
  <c r="Y20" i="6"/>
  <c r="Z20" i="6"/>
  <c r="T12" i="18"/>
  <c r="X20" i="6"/>
  <c r="N20" i="11"/>
  <c r="T22" i="18"/>
  <c r="Y19" i="6"/>
  <c r="Z19" i="6"/>
  <c r="N13" i="11"/>
  <c r="AG20" i="7"/>
  <c r="AJ19" i="6"/>
  <c r="AD20" i="7"/>
  <c r="AP20" i="7"/>
  <c r="AK20" i="7"/>
  <c r="N5" i="11"/>
  <c r="AM20" i="7"/>
  <c r="N13" i="16"/>
  <c r="N22" i="16"/>
  <c r="N15" i="16"/>
  <c r="T15" i="21"/>
  <c r="N22" i="11"/>
  <c r="X19" i="6"/>
  <c r="T22" i="21"/>
  <c r="T13" i="16"/>
  <c r="T22" i="11"/>
  <c r="T13" i="11"/>
  <c r="N5" i="18"/>
  <c r="T23" i="21"/>
  <c r="T19" i="16"/>
  <c r="AM19" i="6"/>
  <c r="AF19" i="6"/>
  <c r="AG19" i="6"/>
  <c r="N6" i="18"/>
  <c r="N14" i="18"/>
  <c r="N19" i="16"/>
  <c r="N19" i="11"/>
  <c r="N12" i="21"/>
  <c r="T7" i="21"/>
  <c r="T14" i="18"/>
  <c r="T22" i="16"/>
  <c r="T7" i="16"/>
  <c r="T20" i="16"/>
  <c r="T5" i="18"/>
  <c r="T17" i="18"/>
  <c r="T21" i="21"/>
  <c r="T19" i="21"/>
  <c r="N17" i="11"/>
  <c r="N11" i="16"/>
  <c r="N20" i="21"/>
  <c r="T14" i="21"/>
  <c r="T9" i="18"/>
  <c r="N18" i="18"/>
  <c r="N15" i="18"/>
  <c r="U15" i="18"/>
  <c r="W15" i="18"/>
  <c r="N23" i="18"/>
  <c r="N11" i="18"/>
  <c r="N21" i="21"/>
  <c r="T16" i="11"/>
  <c r="N7" i="21"/>
  <c r="U7" i="21"/>
  <c r="W7" i="21"/>
  <c r="T8" i="18"/>
  <c r="N21" i="18"/>
  <c r="N19" i="18"/>
  <c r="N13" i="18"/>
  <c r="N9" i="11"/>
  <c r="N15" i="11"/>
  <c r="N7" i="18"/>
  <c r="T10" i="21"/>
  <c r="T9" i="21"/>
  <c r="T18" i="21"/>
  <c r="N14" i="21"/>
  <c r="N8" i="21"/>
  <c r="N10" i="18"/>
  <c r="N9" i="18"/>
  <c r="T18" i="18"/>
  <c r="N8" i="18"/>
  <c r="N13" i="21"/>
  <c r="N15" i="21"/>
  <c r="T16" i="21"/>
  <c r="T21" i="18"/>
  <c r="T6" i="21"/>
  <c r="T19" i="18"/>
  <c r="T13" i="18"/>
  <c r="T17" i="21"/>
  <c r="T6" i="18"/>
  <c r="N18" i="21"/>
  <c r="N11" i="21"/>
  <c r="T8" i="21"/>
  <c r="T10" i="18"/>
  <c r="T13" i="21"/>
  <c r="N23" i="21"/>
  <c r="N12" i="18"/>
  <c r="N16" i="21"/>
  <c r="H4" i="9"/>
  <c r="L4" i="9"/>
  <c r="H4" i="20"/>
  <c r="K4" i="20"/>
  <c r="H4" i="19"/>
  <c r="K4" i="19"/>
  <c r="N6" i="11"/>
  <c r="U6" i="11"/>
  <c r="H4" i="5"/>
  <c r="K4" i="5"/>
  <c r="N16" i="18"/>
  <c r="T20" i="21"/>
  <c r="T11" i="21"/>
  <c r="T20" i="18"/>
  <c r="N22" i="21"/>
  <c r="N5" i="21"/>
  <c r="N22" i="18"/>
  <c r="H35" i="6"/>
  <c r="K35" i="6"/>
  <c r="N35" i="6"/>
  <c r="T23" i="18"/>
  <c r="T16" i="18"/>
  <c r="N10" i="21"/>
  <c r="N17" i="21"/>
  <c r="N9" i="21"/>
  <c r="N20" i="18"/>
  <c r="N17" i="18"/>
  <c r="T11" i="18"/>
  <c r="N19" i="21"/>
  <c r="T5" i="21"/>
  <c r="N6" i="21"/>
  <c r="U6" i="21"/>
  <c r="W6" i="21"/>
  <c r="T19" i="11"/>
  <c r="N7" i="11"/>
  <c r="W24" i="11"/>
  <c r="H4" i="15"/>
  <c r="K4" i="15"/>
  <c r="T5" i="11"/>
  <c r="T17" i="16"/>
  <c r="N12" i="11"/>
  <c r="U12" i="11"/>
  <c r="T8" i="16"/>
  <c r="I35" i="7"/>
  <c r="L35" i="7"/>
  <c r="O35" i="7"/>
  <c r="I35" i="8"/>
  <c r="L35" i="8"/>
  <c r="O35" i="8"/>
  <c r="N17" i="16"/>
  <c r="T23" i="11"/>
  <c r="N8" i="16"/>
  <c r="N9" i="16"/>
  <c r="N20" i="16"/>
  <c r="T15" i="16"/>
  <c r="U26" i="8"/>
  <c r="T7" i="11"/>
  <c r="I36" i="8"/>
  <c r="L36" i="8"/>
  <c r="O36" i="8"/>
  <c r="T15" i="11"/>
  <c r="T5" i="16"/>
  <c r="W25" i="11"/>
  <c r="H5" i="9"/>
  <c r="L5" i="9"/>
  <c r="T17" i="11"/>
  <c r="T11" i="16"/>
  <c r="H36" i="6"/>
  <c r="K36" i="6"/>
  <c r="I36" i="7"/>
  <c r="L36" i="7"/>
  <c r="AJ18" i="6"/>
  <c r="Y18" i="6"/>
  <c r="Z18" i="6"/>
  <c r="X18" i="6"/>
  <c r="AM18" i="6"/>
  <c r="AC18" i="6"/>
  <c r="AF18" i="6"/>
  <c r="T14" i="11"/>
  <c r="N16" i="11"/>
  <c r="N12" i="16"/>
  <c r="T10" i="16"/>
  <c r="N21" i="16"/>
  <c r="T21" i="11"/>
  <c r="T14" i="16"/>
  <c r="T11" i="11"/>
  <c r="T23" i="16"/>
  <c r="T16" i="16"/>
  <c r="AR19" i="7"/>
  <c r="AT19" i="7"/>
  <c r="AU19" i="7"/>
  <c r="AW19" i="7"/>
  <c r="N8" i="11"/>
  <c r="N6" i="16"/>
  <c r="AM18" i="7"/>
  <c r="AD18" i="7"/>
  <c r="AG18" i="7"/>
  <c r="AK18" i="7"/>
  <c r="AP18" i="7"/>
  <c r="T26" i="6"/>
  <c r="N14" i="11"/>
  <c r="T12" i="16"/>
  <c r="N10" i="16"/>
  <c r="T21" i="16"/>
  <c r="N21" i="11"/>
  <c r="N14" i="16"/>
  <c r="T20" i="11"/>
  <c r="N23" i="16"/>
  <c r="N16" i="16"/>
  <c r="T8" i="11"/>
  <c r="T6" i="16"/>
  <c r="T18" i="16"/>
  <c r="T9" i="16"/>
  <c r="N7" i="16"/>
  <c r="N11" i="11"/>
  <c r="U26" i="7"/>
  <c r="N18" i="16"/>
  <c r="T9" i="11"/>
  <c r="N18" i="11"/>
  <c r="AD21" i="7"/>
  <c r="AK21" i="7"/>
  <c r="AP21" i="7"/>
  <c r="AM21" i="7"/>
  <c r="AG21" i="7"/>
  <c r="Z21" i="7"/>
  <c r="AA21" i="7"/>
  <c r="AC21" i="6"/>
  <c r="AJ21" i="6"/>
  <c r="Y21" i="6"/>
  <c r="Z21" i="6"/>
  <c r="AF21" i="6"/>
  <c r="AM21" i="6"/>
  <c r="X21" i="6"/>
  <c r="N10" i="11"/>
  <c r="N23" i="11"/>
  <c r="T10" i="11"/>
  <c r="K5" i="15"/>
  <c r="T18" i="11"/>
  <c r="U7" i="18"/>
  <c r="W7" i="18"/>
  <c r="U12" i="21"/>
  <c r="W12" i="21"/>
  <c r="U20" i="11"/>
  <c r="I13" i="8"/>
  <c r="L13" i="8"/>
  <c r="AA13" i="8"/>
  <c r="AO19" i="6"/>
  <c r="AQ19" i="6"/>
  <c r="AR19" i="6"/>
  <c r="AT19" i="6"/>
  <c r="U5" i="16"/>
  <c r="W5" i="16"/>
  <c r="AG20" i="6"/>
  <c r="AQ20" i="6"/>
  <c r="AR20" i="6"/>
  <c r="AT20" i="6"/>
  <c r="U13" i="21"/>
  <c r="W13" i="21"/>
  <c r="U22" i="16"/>
  <c r="W22" i="16"/>
  <c r="U15" i="16"/>
  <c r="W15" i="16"/>
  <c r="U12" i="18"/>
  <c r="W12" i="18"/>
  <c r="U8" i="18"/>
  <c r="W8" i="18"/>
  <c r="U5" i="11"/>
  <c r="H4" i="6"/>
  <c r="K4" i="6"/>
  <c r="S4" i="6"/>
  <c r="U4" i="6"/>
  <c r="W4" i="6"/>
  <c r="U22" i="18"/>
  <c r="W22" i="18"/>
  <c r="U14" i="21"/>
  <c r="W14" i="21"/>
  <c r="U11" i="16"/>
  <c r="W11" i="16"/>
  <c r="U22" i="21"/>
  <c r="W22" i="21"/>
  <c r="U18" i="18"/>
  <c r="W18" i="18"/>
  <c r="U5" i="18"/>
  <c r="W5" i="18"/>
  <c r="U13" i="16"/>
  <c r="W13" i="16"/>
  <c r="AH20" i="7"/>
  <c r="U19" i="18"/>
  <c r="W19" i="18"/>
  <c r="U21" i="21"/>
  <c r="W21" i="21"/>
  <c r="AR20" i="7"/>
  <c r="AT20" i="7"/>
  <c r="AU20" i="7"/>
  <c r="AW20" i="7"/>
  <c r="U16" i="11"/>
  <c r="I19" i="8"/>
  <c r="U9" i="18"/>
  <c r="W9" i="18"/>
  <c r="U14" i="18"/>
  <c r="W14" i="18"/>
  <c r="U13" i="11"/>
  <c r="H24" i="6"/>
  <c r="K24" i="6"/>
  <c r="U8" i="21"/>
  <c r="W8" i="21"/>
  <c r="U22" i="11"/>
  <c r="H15" i="6"/>
  <c r="K15" i="6"/>
  <c r="U7" i="16"/>
  <c r="W7" i="16"/>
  <c r="U19" i="11"/>
  <c r="H12" i="6"/>
  <c r="K12" i="6"/>
  <c r="S12" i="6"/>
  <c r="U12" i="6"/>
  <c r="W12" i="6"/>
  <c r="U9" i="11"/>
  <c r="H8" i="6"/>
  <c r="K8" i="6"/>
  <c r="U17" i="18"/>
  <c r="W17" i="18"/>
  <c r="U17" i="11"/>
  <c r="W17" i="11"/>
  <c r="U8" i="16"/>
  <c r="W8" i="16"/>
  <c r="U11" i="18"/>
  <c r="W11" i="18"/>
  <c r="U6" i="18"/>
  <c r="W6" i="18"/>
  <c r="U20" i="18"/>
  <c r="W20" i="18"/>
  <c r="U15" i="21"/>
  <c r="W15" i="21"/>
  <c r="U19" i="16"/>
  <c r="W19" i="16"/>
  <c r="U23" i="21"/>
  <c r="W23" i="21"/>
  <c r="U23" i="11"/>
  <c r="H16" i="6"/>
  <c r="K16" i="6"/>
  <c r="U19" i="21"/>
  <c r="W19" i="21"/>
  <c r="U10" i="21"/>
  <c r="W10" i="21"/>
  <c r="U21" i="18"/>
  <c r="W21" i="18"/>
  <c r="U20" i="21"/>
  <c r="W20" i="21"/>
  <c r="U20" i="16"/>
  <c r="W20" i="16"/>
  <c r="U17" i="16"/>
  <c r="W17" i="16"/>
  <c r="U23" i="18"/>
  <c r="W23" i="18"/>
  <c r="U16" i="21"/>
  <c r="W16" i="21"/>
  <c r="U18" i="21"/>
  <c r="W18" i="21"/>
  <c r="U13" i="18"/>
  <c r="W13" i="18"/>
  <c r="U14" i="11"/>
  <c r="I10" i="8"/>
  <c r="L10" i="8"/>
  <c r="U15" i="11"/>
  <c r="I11" i="7"/>
  <c r="L11" i="7"/>
  <c r="U11" i="21"/>
  <c r="W11" i="21"/>
  <c r="U7" i="11"/>
  <c r="I6" i="7"/>
  <c r="L6" i="7"/>
  <c r="U18" i="16"/>
  <c r="W18" i="16"/>
  <c r="U9" i="21"/>
  <c r="W9" i="21"/>
  <c r="U5" i="21"/>
  <c r="W5" i="21"/>
  <c r="U10" i="18"/>
  <c r="W10" i="18"/>
  <c r="U10" i="16"/>
  <c r="W10" i="16"/>
  <c r="U17" i="21"/>
  <c r="W17" i="21"/>
  <c r="U16" i="18"/>
  <c r="W16" i="18"/>
  <c r="W12" i="11"/>
  <c r="I9" i="8"/>
  <c r="L9" i="8"/>
  <c r="O9" i="8"/>
  <c r="U21" i="11"/>
  <c r="I14" i="8"/>
  <c r="L14" i="8"/>
  <c r="U14" i="16"/>
  <c r="W14" i="16"/>
  <c r="U12" i="16"/>
  <c r="W12" i="16"/>
  <c r="U6" i="16"/>
  <c r="W6" i="16"/>
  <c r="U9" i="16"/>
  <c r="W9" i="16"/>
  <c r="AO18" i="6"/>
  <c r="AQ18" i="6"/>
  <c r="AR18" i="6"/>
  <c r="AT18" i="6"/>
  <c r="U18" i="11"/>
  <c r="I21" i="7"/>
  <c r="U16" i="16"/>
  <c r="W16" i="16"/>
  <c r="U21" i="16"/>
  <c r="W21" i="16"/>
  <c r="AO21" i="6"/>
  <c r="AQ21" i="6"/>
  <c r="AR21" i="6"/>
  <c r="AT21" i="6"/>
  <c r="U23" i="16"/>
  <c r="W23" i="16"/>
  <c r="U8" i="11"/>
  <c r="AG18" i="6"/>
  <c r="H9" i="6"/>
  <c r="K9" i="6"/>
  <c r="S9" i="6"/>
  <c r="U9" i="6"/>
  <c r="W9" i="6"/>
  <c r="AR18" i="7"/>
  <c r="AT18" i="7"/>
  <c r="AU18" i="7"/>
  <c r="AW18" i="7"/>
  <c r="AH18" i="7"/>
  <c r="I9" i="7"/>
  <c r="L9" i="7"/>
  <c r="O9" i="7"/>
  <c r="U11" i="11"/>
  <c r="H23" i="6"/>
  <c r="K23" i="6"/>
  <c r="U10" i="11"/>
  <c r="AR21" i="7"/>
  <c r="AT21" i="7"/>
  <c r="AU21" i="7"/>
  <c r="AW21" i="7"/>
  <c r="AH21" i="7"/>
  <c r="I5" i="7"/>
  <c r="H5" i="6"/>
  <c r="I5" i="8"/>
  <c r="W6" i="11"/>
  <c r="N36" i="6"/>
  <c r="K37" i="6"/>
  <c r="O36" i="7"/>
  <c r="AG21" i="6"/>
  <c r="I13" i="7"/>
  <c r="L13" i="7"/>
  <c r="AA13" i="7"/>
  <c r="H13" i="6"/>
  <c r="K13" i="6"/>
  <c r="S13" i="6"/>
  <c r="U13" i="6"/>
  <c r="W13" i="6"/>
  <c r="AM13" i="6"/>
  <c r="W20" i="11"/>
  <c r="I4" i="8"/>
  <c r="L4" i="8"/>
  <c r="AA4" i="8"/>
  <c r="W16" i="11"/>
  <c r="I8" i="8"/>
  <c r="L8" i="8"/>
  <c r="O8" i="8"/>
  <c r="I8" i="7"/>
  <c r="L8" i="7"/>
  <c r="O8" i="7"/>
  <c r="I4" i="7"/>
  <c r="L4" i="7"/>
  <c r="O4" i="7"/>
  <c r="O26" i="7"/>
  <c r="O38" i="7"/>
  <c r="AA9" i="8"/>
  <c r="W9" i="11"/>
  <c r="W5" i="11"/>
  <c r="H19" i="6"/>
  <c r="I19" i="7"/>
  <c r="I20" i="7"/>
  <c r="I24" i="8"/>
  <c r="L24" i="8"/>
  <c r="T24" i="8"/>
  <c r="V24" i="8"/>
  <c r="X24" i="8"/>
  <c r="I20" i="8"/>
  <c r="I15" i="7"/>
  <c r="L15" i="7"/>
  <c r="T15" i="7"/>
  <c r="V15" i="7"/>
  <c r="X15" i="7"/>
  <c r="W22" i="11"/>
  <c r="I15" i="8"/>
  <c r="L15" i="8"/>
  <c r="O15" i="8"/>
  <c r="T9" i="7"/>
  <c r="V9" i="7"/>
  <c r="X9" i="7"/>
  <c r="AK9" i="7"/>
  <c r="I24" i="7"/>
  <c r="L24" i="7"/>
  <c r="AA24" i="7"/>
  <c r="H20" i="6"/>
  <c r="I23" i="7"/>
  <c r="L23" i="7"/>
  <c r="AA23" i="7"/>
  <c r="W13" i="11"/>
  <c r="H11" i="6"/>
  <c r="K11" i="6"/>
  <c r="N11" i="6"/>
  <c r="N12" i="6"/>
  <c r="W19" i="11"/>
  <c r="I16" i="7"/>
  <c r="L16" i="7"/>
  <c r="T16" i="7"/>
  <c r="V16" i="7"/>
  <c r="X16" i="7"/>
  <c r="I12" i="8"/>
  <c r="L12" i="8"/>
  <c r="T12" i="8"/>
  <c r="V12" i="8"/>
  <c r="X12" i="8"/>
  <c r="I12" i="7"/>
  <c r="L12" i="7"/>
  <c r="O12" i="7"/>
  <c r="I10" i="7"/>
  <c r="L10" i="7"/>
  <c r="O10" i="7"/>
  <c r="H10" i="6"/>
  <c r="K10" i="6"/>
  <c r="N10" i="6"/>
  <c r="W23" i="11"/>
  <c r="I11" i="8"/>
  <c r="L11" i="8"/>
  <c r="T11" i="8"/>
  <c r="V11" i="8"/>
  <c r="X11" i="8"/>
  <c r="W14" i="11"/>
  <c r="W21" i="11"/>
  <c r="I6" i="8"/>
  <c r="L6" i="8"/>
  <c r="T6" i="8"/>
  <c r="V6" i="8"/>
  <c r="X6" i="8"/>
  <c r="W15" i="11"/>
  <c r="W7" i="11"/>
  <c r="T9" i="8"/>
  <c r="V9" i="8"/>
  <c r="X9" i="8"/>
  <c r="I16" i="8"/>
  <c r="L16" i="8"/>
  <c r="T16" i="8"/>
  <c r="V16" i="8"/>
  <c r="X16" i="8"/>
  <c r="Z16" i="8"/>
  <c r="AA16" i="8"/>
  <c r="I21" i="8"/>
  <c r="H6" i="6"/>
  <c r="K6" i="6"/>
  <c r="N6" i="6"/>
  <c r="S24" i="6"/>
  <c r="U24" i="6"/>
  <c r="W24" i="6"/>
  <c r="N24" i="6"/>
  <c r="W18" i="11"/>
  <c r="H21" i="6"/>
  <c r="T6" i="7"/>
  <c r="V6" i="7"/>
  <c r="X6" i="7"/>
  <c r="AK6" i="7"/>
  <c r="AA6" i="7"/>
  <c r="O6" i="7"/>
  <c r="H14" i="6"/>
  <c r="K14" i="6"/>
  <c r="S14" i="6"/>
  <c r="U14" i="6"/>
  <c r="W14" i="6"/>
  <c r="AA9" i="7"/>
  <c r="I14" i="7"/>
  <c r="L14" i="7"/>
  <c r="T14" i="7"/>
  <c r="V14" i="7"/>
  <c r="X14" i="7"/>
  <c r="O13" i="8"/>
  <c r="N4" i="6"/>
  <c r="N26" i="6"/>
  <c r="N38" i="6"/>
  <c r="T13" i="8"/>
  <c r="V13" i="8"/>
  <c r="X13" i="8"/>
  <c r="T11" i="7"/>
  <c r="V11" i="7"/>
  <c r="X11" i="7"/>
  <c r="O11" i="7"/>
  <c r="AA11" i="7"/>
  <c r="W11" i="11"/>
  <c r="N9" i="6"/>
  <c r="I23" i="8"/>
  <c r="L23" i="8"/>
  <c r="T23" i="8"/>
  <c r="V23" i="8"/>
  <c r="X23" i="8"/>
  <c r="I7" i="8"/>
  <c r="L7" i="8"/>
  <c r="I7" i="7"/>
  <c r="L7" i="7"/>
  <c r="H7" i="6"/>
  <c r="K7" i="6"/>
  <c r="W8" i="11"/>
  <c r="N23" i="6"/>
  <c r="S23" i="6"/>
  <c r="U23" i="6"/>
  <c r="W23" i="6"/>
  <c r="AF4" i="6"/>
  <c r="AC4" i="6"/>
  <c r="AM4" i="6"/>
  <c r="AJ4" i="6"/>
  <c r="Y4" i="6"/>
  <c r="X4" i="6"/>
  <c r="AA10" i="8"/>
  <c r="T10" i="8"/>
  <c r="V10" i="8"/>
  <c r="X10" i="8"/>
  <c r="O10" i="8"/>
  <c r="AF12" i="6"/>
  <c r="X12" i="6"/>
  <c r="AJ12" i="6"/>
  <c r="Y12" i="6"/>
  <c r="Z12" i="6"/>
  <c r="AM12" i="6"/>
  <c r="AC12" i="6"/>
  <c r="S8" i="6"/>
  <c r="U8" i="6"/>
  <c r="W8" i="6"/>
  <c r="N8" i="6"/>
  <c r="S15" i="6"/>
  <c r="U15" i="6"/>
  <c r="W15" i="6"/>
  <c r="N15" i="6"/>
  <c r="L5" i="8"/>
  <c r="X9" i="6"/>
  <c r="Y9" i="6"/>
  <c r="Z9" i="6"/>
  <c r="AC9" i="6"/>
  <c r="AJ9" i="6"/>
  <c r="AM9" i="6"/>
  <c r="AF9" i="6"/>
  <c r="H18" i="6"/>
  <c r="I18" i="8"/>
  <c r="I18" i="7"/>
  <c r="W10" i="11"/>
  <c r="S16" i="6"/>
  <c r="U16" i="6"/>
  <c r="W16" i="6"/>
  <c r="N16" i="6"/>
  <c r="K5" i="6"/>
  <c r="T14" i="8"/>
  <c r="V14" i="8"/>
  <c r="X14" i="8"/>
  <c r="Z14" i="8"/>
  <c r="U28" i="8"/>
  <c r="O14" i="8"/>
  <c r="L5" i="7"/>
  <c r="X13" i="6"/>
  <c r="T13" i="7"/>
  <c r="V13" i="7"/>
  <c r="X13" i="7"/>
  <c r="AP13" i="7"/>
  <c r="O13" i="7"/>
  <c r="Y13" i="6"/>
  <c r="Z13" i="6"/>
  <c r="N13" i="6"/>
  <c r="AA8" i="8"/>
  <c r="AC13" i="6"/>
  <c r="T8" i="8"/>
  <c r="V8" i="8"/>
  <c r="X8" i="8"/>
  <c r="AF13" i="6"/>
  <c r="AJ13" i="6"/>
  <c r="AO13" i="6"/>
  <c r="T4" i="8"/>
  <c r="V4" i="8"/>
  <c r="X4" i="8"/>
  <c r="O4" i="8"/>
  <c r="O26" i="8"/>
  <c r="O38" i="8"/>
  <c r="AA8" i="7"/>
  <c r="T10" i="7"/>
  <c r="V10" i="7"/>
  <c r="X10" i="7"/>
  <c r="AD10" i="7"/>
  <c r="T8" i="7"/>
  <c r="V8" i="7"/>
  <c r="X8" i="7"/>
  <c r="AM8" i="7"/>
  <c r="AA24" i="8"/>
  <c r="T4" i="7"/>
  <c r="V4" i="7"/>
  <c r="X4" i="7"/>
  <c r="AG4" i="7"/>
  <c r="O16" i="8"/>
  <c r="AA15" i="8"/>
  <c r="O24" i="8"/>
  <c r="AA4" i="7"/>
  <c r="T15" i="8"/>
  <c r="V15" i="8"/>
  <c r="X15" i="8"/>
  <c r="S11" i="6"/>
  <c r="U11" i="6"/>
  <c r="W11" i="6"/>
  <c r="AC11" i="6"/>
  <c r="AP6" i="7"/>
  <c r="AA15" i="7"/>
  <c r="AD9" i="7"/>
  <c r="AP9" i="7"/>
  <c r="O15" i="7"/>
  <c r="AG9" i="7"/>
  <c r="AM9" i="7"/>
  <c r="AA10" i="7"/>
  <c r="AG6" i="7"/>
  <c r="AA12" i="8"/>
  <c r="S10" i="6"/>
  <c r="U10" i="6"/>
  <c r="W10" i="6"/>
  <c r="AM10" i="6"/>
  <c r="T23" i="7"/>
  <c r="V23" i="7"/>
  <c r="X23" i="7"/>
  <c r="AM23" i="7"/>
  <c r="T24" i="7"/>
  <c r="V24" i="7"/>
  <c r="X24" i="7"/>
  <c r="AM24" i="7"/>
  <c r="O24" i="7"/>
  <c r="O12" i="8"/>
  <c r="O23" i="7"/>
  <c r="O16" i="7"/>
  <c r="AD6" i="7"/>
  <c r="AA11" i="8"/>
  <c r="O11" i="8"/>
  <c r="T12" i="7"/>
  <c r="V12" i="7"/>
  <c r="X12" i="7"/>
  <c r="AA12" i="7"/>
  <c r="AA6" i="8"/>
  <c r="AM6" i="7"/>
  <c r="N14" i="6"/>
  <c r="O6" i="8"/>
  <c r="S6" i="6"/>
  <c r="U6" i="6"/>
  <c r="W6" i="6"/>
  <c r="AC24" i="6"/>
  <c r="AM24" i="6"/>
  <c r="X24" i="6"/>
  <c r="Y24" i="6"/>
  <c r="Z24" i="6"/>
  <c r="AF24" i="6"/>
  <c r="AJ24" i="6"/>
  <c r="AK4" i="7"/>
  <c r="H26" i="6"/>
  <c r="H31" i="6"/>
  <c r="O14" i="7"/>
  <c r="I26" i="8"/>
  <c r="I31" i="8"/>
  <c r="AA23" i="8"/>
  <c r="O23" i="8"/>
  <c r="AP11" i="7"/>
  <c r="AG11" i="7"/>
  <c r="AK11" i="7"/>
  <c r="AM11" i="7"/>
  <c r="AD11" i="7"/>
  <c r="S7" i="6"/>
  <c r="U7" i="6"/>
  <c r="W7" i="6"/>
  <c r="N7" i="6"/>
  <c r="O7" i="7"/>
  <c r="T7" i="7"/>
  <c r="V7" i="7"/>
  <c r="X7" i="7"/>
  <c r="AA7" i="7"/>
  <c r="I26" i="7"/>
  <c r="I38" i="7"/>
  <c r="AO9" i="6"/>
  <c r="AQ9" i="6"/>
  <c r="AR9" i="6"/>
  <c r="AT9" i="6"/>
  <c r="O7" i="8"/>
  <c r="AA7" i="8"/>
  <c r="T7" i="8"/>
  <c r="V7" i="8"/>
  <c r="X7" i="8"/>
  <c r="AM14" i="7"/>
  <c r="AG14" i="7"/>
  <c r="AD14" i="7"/>
  <c r="Z14" i="7"/>
  <c r="AP14" i="7"/>
  <c r="AK14" i="7"/>
  <c r="AG12" i="6"/>
  <c r="Y15" i="6"/>
  <c r="Z15" i="6"/>
  <c r="AM15" i="6"/>
  <c r="X15" i="6"/>
  <c r="AF15" i="6"/>
  <c r="AJ15" i="6"/>
  <c r="AC15" i="6"/>
  <c r="AO12" i="6"/>
  <c r="AQ12" i="6"/>
  <c r="AR12" i="6"/>
  <c r="AT12" i="6"/>
  <c r="Z16" i="7"/>
  <c r="AA16" i="7"/>
  <c r="AK16" i="7"/>
  <c r="AD16" i="7"/>
  <c r="AP16" i="7"/>
  <c r="AM16" i="7"/>
  <c r="AG16" i="7"/>
  <c r="AA14" i="8"/>
  <c r="AG9" i="6"/>
  <c r="AO4" i="6"/>
  <c r="AQ4" i="6"/>
  <c r="AR4" i="6"/>
  <c r="S5" i="6"/>
  <c r="U5" i="6"/>
  <c r="W5" i="6"/>
  <c r="N5" i="6"/>
  <c r="K26" i="6"/>
  <c r="Z4" i="6"/>
  <c r="T28" i="6"/>
  <c r="AC14" i="6"/>
  <c r="Y14" i="6"/>
  <c r="Z14" i="6"/>
  <c r="X14" i="6"/>
  <c r="AM14" i="6"/>
  <c r="AF14" i="6"/>
  <c r="AJ14" i="6"/>
  <c r="X8" i="6"/>
  <c r="Y8" i="6"/>
  <c r="Z8" i="6"/>
  <c r="AF8" i="6"/>
  <c r="AM8" i="6"/>
  <c r="AJ8" i="6"/>
  <c r="AC8" i="6"/>
  <c r="AJ23" i="6"/>
  <c r="AF23" i="6"/>
  <c r="X23" i="6"/>
  <c r="AC23" i="6"/>
  <c r="Y23" i="6"/>
  <c r="Z23" i="6"/>
  <c r="AM23" i="6"/>
  <c r="AA5" i="8"/>
  <c r="T5" i="8"/>
  <c r="V5" i="8"/>
  <c r="X5" i="8"/>
  <c r="O5" i="8"/>
  <c r="L26" i="8"/>
  <c r="AF16" i="6"/>
  <c r="AC16" i="6"/>
  <c r="AJ16" i="6"/>
  <c r="Y16" i="6"/>
  <c r="Z16" i="6"/>
  <c r="X16" i="6"/>
  <c r="AM16" i="6"/>
  <c r="AA5" i="7"/>
  <c r="T5" i="7"/>
  <c r="V5" i="7"/>
  <c r="X5" i="7"/>
  <c r="O5" i="7"/>
  <c r="L26" i="7"/>
  <c r="AP15" i="7"/>
  <c r="AG15" i="7"/>
  <c r="AM15" i="7"/>
  <c r="AK15" i="7"/>
  <c r="AD15" i="7"/>
  <c r="AG4" i="6"/>
  <c r="AO24" i="6"/>
  <c r="AQ24" i="6"/>
  <c r="AR24" i="6"/>
  <c r="AT24" i="6"/>
  <c r="AM13" i="7"/>
  <c r="AD13" i="7"/>
  <c r="AM10" i="7"/>
  <c r="AK13" i="7"/>
  <c r="AG13" i="7"/>
  <c r="AG13" i="6"/>
  <c r="AK10" i="7"/>
  <c r="AQ13" i="6"/>
  <c r="AR13" i="6"/>
  <c r="AT13" i="6"/>
  <c r="AP10" i="7"/>
  <c r="AD8" i="7"/>
  <c r="Y11" i="6"/>
  <c r="Z11" i="6"/>
  <c r="AG10" i="7"/>
  <c r="AH10" i="7"/>
  <c r="AP8" i="7"/>
  <c r="AM4" i="7"/>
  <c r="AK8" i="7"/>
  <c r="AF11" i="6"/>
  <c r="AG11" i="6"/>
  <c r="AP4" i="7"/>
  <c r="AD4" i="7"/>
  <c r="AH4" i="7"/>
  <c r="AG8" i="7"/>
  <c r="AJ10" i="6"/>
  <c r="AO10" i="6"/>
  <c r="AR6" i="7"/>
  <c r="AT6" i="7"/>
  <c r="AU6" i="7"/>
  <c r="AW6" i="7"/>
  <c r="AM11" i="6"/>
  <c r="X11" i="6"/>
  <c r="X10" i="6"/>
  <c r="AH9" i="7"/>
  <c r="AJ11" i="6"/>
  <c r="AO11" i="6"/>
  <c r="AP24" i="7"/>
  <c r="AK24" i="7"/>
  <c r="AR9" i="7"/>
  <c r="AT9" i="7"/>
  <c r="AU9" i="7"/>
  <c r="AW9" i="7"/>
  <c r="Y10" i="6"/>
  <c r="Z10" i="6"/>
  <c r="AC10" i="6"/>
  <c r="AF10" i="6"/>
  <c r="AK23" i="7"/>
  <c r="AH6" i="7"/>
  <c r="AD23" i="7"/>
  <c r="I31" i="7"/>
  <c r="AP23" i="7"/>
  <c r="AD24" i="7"/>
  <c r="AG24" i="7"/>
  <c r="AG23" i="7"/>
  <c r="I38" i="8"/>
  <c r="AG24" i="6"/>
  <c r="AD12" i="7"/>
  <c r="AM12" i="7"/>
  <c r="AP12" i="7"/>
  <c r="AG12" i="7"/>
  <c r="AK12" i="7"/>
  <c r="H38" i="6"/>
  <c r="AH11" i="7"/>
  <c r="AC6" i="6"/>
  <c r="X6" i="6"/>
  <c r="Y6" i="6"/>
  <c r="Z6" i="6"/>
  <c r="AF6" i="6"/>
  <c r="AJ6" i="6"/>
  <c r="AM6" i="6"/>
  <c r="AR16" i="7"/>
  <c r="AT16" i="7"/>
  <c r="AU16" i="7"/>
  <c r="AW16" i="7"/>
  <c r="AO8" i="6"/>
  <c r="AQ8" i="6"/>
  <c r="AR8" i="6"/>
  <c r="AT8" i="6"/>
  <c r="AH14" i="7"/>
  <c r="AO14" i="6"/>
  <c r="AQ14" i="6"/>
  <c r="AR14" i="6"/>
  <c r="AT14" i="6"/>
  <c r="AO23" i="6"/>
  <c r="AQ23" i="6"/>
  <c r="AR23" i="6"/>
  <c r="AT23" i="6"/>
  <c r="AG14" i="6"/>
  <c r="AR11" i="7"/>
  <c r="AT11" i="7"/>
  <c r="AU11" i="7"/>
  <c r="AW11" i="7"/>
  <c r="AP7" i="7"/>
  <c r="AD7" i="7"/>
  <c r="AG7" i="7"/>
  <c r="AM7" i="7"/>
  <c r="AK7" i="7"/>
  <c r="AH16" i="7"/>
  <c r="AJ7" i="6"/>
  <c r="AC7" i="6"/>
  <c r="AM7" i="6"/>
  <c r="X7" i="6"/>
  <c r="Y7" i="6"/>
  <c r="Z7" i="6"/>
  <c r="AF7" i="6"/>
  <c r="U28" i="7"/>
  <c r="AA14" i="7"/>
  <c r="AT4" i="6"/>
  <c r="AG23" i="6"/>
  <c r="T32" i="6"/>
  <c r="T27" i="6"/>
  <c r="T29" i="6"/>
  <c r="T31" i="6"/>
  <c r="K31" i="6"/>
  <c r="K38" i="6"/>
  <c r="AG8" i="6"/>
  <c r="AO15" i="6"/>
  <c r="AQ15" i="6"/>
  <c r="AR15" i="6"/>
  <c r="AT15" i="6"/>
  <c r="L31" i="8"/>
  <c r="U32" i="8"/>
  <c r="U27" i="8"/>
  <c r="U29" i="8"/>
  <c r="U31" i="8"/>
  <c r="L38" i="8"/>
  <c r="AO16" i="6"/>
  <c r="AQ16" i="6"/>
  <c r="AR16" i="6"/>
  <c r="AT16" i="6"/>
  <c r="AR14" i="7"/>
  <c r="AT14" i="7"/>
  <c r="AU14" i="7"/>
  <c r="AM5" i="6"/>
  <c r="AJ5" i="6"/>
  <c r="Y5" i="6"/>
  <c r="Z5" i="6"/>
  <c r="AC5" i="6"/>
  <c r="AF5" i="6"/>
  <c r="X5" i="6"/>
  <c r="U32" i="7"/>
  <c r="U27" i="7"/>
  <c r="U29" i="7"/>
  <c r="U31" i="7"/>
  <c r="L31" i="7"/>
  <c r="L38" i="7"/>
  <c r="AG16" i="6"/>
  <c r="AG15" i="6"/>
  <c r="AR15" i="7"/>
  <c r="AT15" i="7"/>
  <c r="AU15" i="7"/>
  <c r="AW15" i="7"/>
  <c r="AM5" i="7"/>
  <c r="AP5" i="7"/>
  <c r="AD5" i="7"/>
  <c r="AG5" i="7"/>
  <c r="AK5" i="7"/>
  <c r="AH15" i="7"/>
  <c r="AR23" i="7"/>
  <c r="AT23" i="7"/>
  <c r="AU23" i="7"/>
  <c r="AW23" i="7"/>
  <c r="AH13" i="7"/>
  <c r="AR13" i="7"/>
  <c r="AT13" i="7"/>
  <c r="AU13" i="7"/>
  <c r="AW13" i="7"/>
  <c r="AR10" i="7"/>
  <c r="AT10" i="7"/>
  <c r="AU10" i="7"/>
  <c r="AW10" i="7"/>
  <c r="AH8" i="7"/>
  <c r="AR8" i="7"/>
  <c r="AT8" i="7"/>
  <c r="AU8" i="7"/>
  <c r="AW8" i="7"/>
  <c r="AQ11" i="6"/>
  <c r="AR11" i="6"/>
  <c r="AT11" i="6"/>
  <c r="AR4" i="7"/>
  <c r="AT4" i="7"/>
  <c r="AU4" i="7"/>
  <c r="AW4" i="7"/>
  <c r="AH23" i="7"/>
  <c r="AG10" i="6"/>
  <c r="AR24" i="7"/>
  <c r="AT24" i="7"/>
  <c r="AU24" i="7"/>
  <c r="AW24" i="7"/>
  <c r="AQ10" i="6"/>
  <c r="AR10" i="6"/>
  <c r="AT10" i="6"/>
  <c r="AH24" i="7"/>
  <c r="AH12" i="7"/>
  <c r="AR12" i="7"/>
  <c r="AT12" i="7"/>
  <c r="AU12" i="7"/>
  <c r="AW12" i="7"/>
  <c r="AG6" i="6"/>
  <c r="AO6" i="6"/>
  <c r="AQ6" i="6"/>
  <c r="AR6" i="6"/>
  <c r="AT6" i="6"/>
  <c r="AR7" i="7"/>
  <c r="AT7" i="7"/>
  <c r="AU7" i="7"/>
  <c r="AW7" i="7"/>
  <c r="AH5" i="7"/>
  <c r="AH7" i="7"/>
  <c r="AG7" i="6"/>
  <c r="U33" i="7"/>
  <c r="T33" i="6"/>
  <c r="AO7" i="6"/>
  <c r="AQ7" i="6"/>
  <c r="AR7" i="6"/>
  <c r="AT7" i="6"/>
  <c r="AO5" i="6"/>
  <c r="AQ5" i="6"/>
  <c r="AR5" i="6"/>
  <c r="AT5" i="6"/>
  <c r="U33" i="8"/>
  <c r="AG5" i="6"/>
  <c r="AW14" i="7"/>
  <c r="AR5" i="7"/>
  <c r="AT5" i="7"/>
  <c r="AU5" i="7"/>
  <c r="AW5" i="7"/>
  <c r="G34" i="4" l="1"/>
  <c r="H34" i="4" s="1"/>
  <c r="H21" i="4"/>
  <c r="G21" i="4"/>
  <c r="G8" i="4"/>
  <c r="G15" i="4" s="1"/>
  <c r="G25" i="4" l="1"/>
  <c r="H25" i="4" s="1"/>
  <c r="G24" i="4"/>
  <c r="H24" i="4" l="1"/>
  <c r="H26" i="4" s="1"/>
  <c r="H28" i="4" s="1"/>
  <c r="H36" i="4" s="1"/>
  <c r="G26" i="4"/>
</calcChain>
</file>

<file path=xl/sharedStrings.xml><?xml version="1.0" encoding="utf-8"?>
<sst xmlns="http://schemas.openxmlformats.org/spreadsheetml/2006/main" count="1114" uniqueCount="439">
  <si>
    <t>Band Descriptors</t>
  </si>
  <si>
    <t>Staffing Ratio</t>
  </si>
  <si>
    <t>Band 1</t>
  </si>
  <si>
    <t>Band 2</t>
  </si>
  <si>
    <t>5 to 1 Ratio</t>
  </si>
  <si>
    <t>Band 3</t>
  </si>
  <si>
    <t>6 to 1 Ratio</t>
  </si>
  <si>
    <t>Band 4</t>
  </si>
  <si>
    <t>Band 5</t>
  </si>
  <si>
    <t>Principles</t>
  </si>
  <si>
    <t>The same average principle is applied for Teaching Assistant salaries. Salaries are paid through the equated pay approach.</t>
  </si>
  <si>
    <t xml:space="preserve">The first SEN Allowance has been applied to the Special Schools classroom teacher. </t>
  </si>
  <si>
    <t xml:space="preserve">The average teacher costs across the whole Special Schools sector (including the pay award) have been applied consistently across the Bands. </t>
  </si>
  <si>
    <t>Threshold payments through Upper Scale points have been taken into account when calculating the average teacher costs.</t>
  </si>
  <si>
    <t xml:space="preserve">A Teachers salary will be based on an FTE post using Teachers Pay and Grading Conditions, and the pay scales have taken account of the 2010 pay award. </t>
  </si>
  <si>
    <t>Group 3</t>
  </si>
  <si>
    <t>Group 4</t>
  </si>
  <si>
    <t>Group 5</t>
  </si>
  <si>
    <t>Group 6</t>
  </si>
  <si>
    <t>Group Value of Special School</t>
  </si>
  <si>
    <t>Staffing Block</t>
  </si>
  <si>
    <t>Non-Staffing Block</t>
  </si>
  <si>
    <t>Group 4 (PFI School)</t>
  </si>
  <si>
    <t>TLR Payments</t>
  </si>
  <si>
    <t>Site Manager / Caretaker</t>
  </si>
  <si>
    <t>Cleaners</t>
  </si>
  <si>
    <t>Clerk to Governor</t>
  </si>
  <si>
    <t>Administrator</t>
  </si>
  <si>
    <t>School Business Manager / Bursar</t>
  </si>
  <si>
    <t>Finance Buyback</t>
  </si>
  <si>
    <t>HR Buyback</t>
  </si>
  <si>
    <t>Payroll Buyback</t>
  </si>
  <si>
    <t>I.T Buyback</t>
  </si>
  <si>
    <t>Insurances Buyback</t>
  </si>
  <si>
    <t>R&amp;M Buyback</t>
  </si>
  <si>
    <t>Licences Buyback</t>
  </si>
  <si>
    <t>Refuse Collection</t>
  </si>
  <si>
    <t>Cleaning Materials</t>
  </si>
  <si>
    <t>Telephones</t>
  </si>
  <si>
    <t>Outdoor &amp; Grounds Maintenance</t>
  </si>
  <si>
    <t>Admin Supplies</t>
  </si>
  <si>
    <t>Training &amp; Development</t>
  </si>
  <si>
    <t>Photocopier</t>
  </si>
  <si>
    <t>Staffing Block consisting of the typical cost drivers:</t>
  </si>
  <si>
    <t>Non-Staffing Block consisting of the typical cost drivers:</t>
  </si>
  <si>
    <t>Fixed Allocations</t>
  </si>
  <si>
    <t>Additional Allocations</t>
  </si>
  <si>
    <t>Block</t>
  </si>
  <si>
    <t>A Teaching Assistant position is based on 32.5 hours per week (i.e. 1 FTE)</t>
  </si>
  <si>
    <t>Sickness Absence Insurance Premium have been factored into the Band values for both a Teacher and Teaching Assistant.</t>
  </si>
  <si>
    <t>Group 3 (PFI School)</t>
  </si>
  <si>
    <t>2.5 to 1 Ratio</t>
  </si>
  <si>
    <t>Group</t>
  </si>
  <si>
    <t>Louth St Bernard's School</t>
  </si>
  <si>
    <t>Grantham Ambergate School</t>
  </si>
  <si>
    <t>Lincoln The Sincil School</t>
  </si>
  <si>
    <t>Lincoln Queen's Park School</t>
  </si>
  <si>
    <t>Lincoln St Christopher's</t>
  </si>
  <si>
    <t>Horncastle St Lawrence School</t>
  </si>
  <si>
    <t>Band Values</t>
  </si>
  <si>
    <t>Energy (Water / Electricity / Gas or Oil)</t>
  </si>
  <si>
    <t>Educational Learning Materials</t>
  </si>
  <si>
    <t>Total</t>
  </si>
  <si>
    <t>Cook</t>
  </si>
  <si>
    <t>PFI Block</t>
  </si>
  <si>
    <t>The calculation of a Band includes the staffing costs for a Teacher and a Teaching Assistant. For example, Band 2 has a staffing ratio of 5 to 1, which will be calculated using a 10 to 2 ratio that will consist of one Teacher and one Teaching Assistant.</t>
  </si>
  <si>
    <t>School</t>
  </si>
  <si>
    <t>Boston John Fielding</t>
  </si>
  <si>
    <t>Grantham Sandon</t>
  </si>
  <si>
    <t>Louth St Bernard's</t>
  </si>
  <si>
    <t>Spalding The Garth</t>
  </si>
  <si>
    <t>Spilsby The Eresby</t>
  </si>
  <si>
    <t xml:space="preserve">Gainsborough Warren Wood </t>
  </si>
  <si>
    <t>Gosberton House</t>
  </si>
  <si>
    <t>Gainsborough Aegir</t>
  </si>
  <si>
    <t>Grantham Ambergate</t>
  </si>
  <si>
    <t>Spalding The Priory</t>
  </si>
  <si>
    <t>Bourne Willoughby</t>
  </si>
  <si>
    <t>Horncastle St Lawrence</t>
  </si>
  <si>
    <t>Lincoln Queen's Park</t>
  </si>
  <si>
    <t xml:space="preserve">Lincoln St Francis </t>
  </si>
  <si>
    <t>Lincoln Fortuna (PFI)</t>
  </si>
  <si>
    <t>Lincoln Sincil Sports College (PFI)</t>
  </si>
  <si>
    <t>Spilsby The Lady Jane Franklin (PFI)</t>
  </si>
  <si>
    <t>Grantham Phoenix (PFI)</t>
  </si>
  <si>
    <t>Free School Meals</t>
  </si>
  <si>
    <t>Boston John Fielding School</t>
  </si>
  <si>
    <t>Gosberton House School</t>
  </si>
  <si>
    <t>Grantham Sandon School</t>
  </si>
  <si>
    <t>Spalding The Garth School</t>
  </si>
  <si>
    <t>Spilsby The Eresby School</t>
  </si>
  <si>
    <t>Grantham The Phoenix School</t>
  </si>
  <si>
    <t>Spilsby The Lady Jane Franklin</t>
  </si>
  <si>
    <t>Spalding The Priory School</t>
  </si>
  <si>
    <t>Lincoln St Christopher's School</t>
  </si>
  <si>
    <t>Lincoln St Francis Special School</t>
  </si>
  <si>
    <t>Gainsborough Warren Wood</t>
  </si>
  <si>
    <t>Special Schools Band Descriptors</t>
  </si>
  <si>
    <t>Lincoln Fortuna</t>
  </si>
  <si>
    <t>Grantham Phoenix</t>
  </si>
  <si>
    <t>Lincoln Sincil Sports College</t>
  </si>
  <si>
    <t>Percentage coverage of Bands</t>
  </si>
  <si>
    <t>Diff.</t>
  </si>
  <si>
    <t>Banded Funding</t>
  </si>
  <si>
    <t>Total Funding</t>
  </si>
  <si>
    <t>Difference</t>
  </si>
  <si>
    <t>PFI Reductions in Charges</t>
  </si>
  <si>
    <t>Actual Difference</t>
  </si>
  <si>
    <t>Additionality</t>
  </si>
  <si>
    <t>Band 5 Additionality</t>
  </si>
  <si>
    <t>Catering Assistant(s)</t>
  </si>
  <si>
    <t>Midday Supervisor's have been incorporated into the Band Values on a 10 to 1 staffing ratio.</t>
  </si>
  <si>
    <t>Leadership Team</t>
  </si>
  <si>
    <t>PFI Reduction in Charges</t>
  </si>
  <si>
    <t>Split-Site Factor</t>
  </si>
  <si>
    <t>Band 5 pupil ratio change</t>
  </si>
  <si>
    <t>Notes:</t>
  </si>
  <si>
    <t>Special Schools - Revised Band Descriptor's (using October 2011 census) - Implementation for the period 2012-13 &amp; 2013-14</t>
  </si>
  <si>
    <t xml:space="preserve">Date of Visit </t>
  </si>
  <si>
    <t>Actual Cohort Oct 11</t>
  </si>
  <si>
    <t>Band 1 Oct 11</t>
  </si>
  <si>
    <t>% Band 1 Oct 11</t>
  </si>
  <si>
    <t>Band 2 Oct 11</t>
  </si>
  <si>
    <t>% Band 2 Oct 11</t>
  </si>
  <si>
    <t>Band 3 Oct 11</t>
  </si>
  <si>
    <t>% Band 3 Oct 11</t>
  </si>
  <si>
    <t>Band 4 Oct 11</t>
  </si>
  <si>
    <t>% Band 4 Oct 11</t>
  </si>
  <si>
    <t>Band 5 Oct 11</t>
  </si>
  <si>
    <t>% Band 5 Oct 11</t>
  </si>
  <si>
    <t>09.12.11</t>
  </si>
  <si>
    <t>23.11.11</t>
  </si>
  <si>
    <t>25.11.11</t>
  </si>
  <si>
    <t>PC to arrange</t>
  </si>
  <si>
    <t>12.12.11</t>
  </si>
  <si>
    <t>South Rauceby Ash Villa School</t>
  </si>
  <si>
    <t>Bourne Willoughby School</t>
  </si>
  <si>
    <t>Boston Pilgrim Hospital</t>
  </si>
  <si>
    <t xml:space="preserve">Ash Villa Hospital </t>
  </si>
  <si>
    <t>Outreach</t>
  </si>
  <si>
    <t xml:space="preserve">Boston Pilgrim Hospital </t>
  </si>
  <si>
    <t>Ash Villa Hospital</t>
  </si>
  <si>
    <t>Boston Pilgrim Outreach</t>
  </si>
  <si>
    <t>Outreach Funding</t>
  </si>
  <si>
    <t>Outreach Block</t>
  </si>
  <si>
    <t>Existing Funding - Special</t>
  </si>
  <si>
    <t>Existing Funding - Grants</t>
  </si>
  <si>
    <t>2012-13</t>
  </si>
  <si>
    <t>Note: Changes relating to the total funding pot vs. existing funding</t>
  </si>
  <si>
    <t>Average Band Value</t>
  </si>
  <si>
    <t>Place-led Funding</t>
  </si>
  <si>
    <t>Total Funding Place</t>
  </si>
  <si>
    <t>Top-up Funding</t>
  </si>
  <si>
    <t>SCHOOL NAME</t>
  </si>
  <si>
    <t>FREE</t>
  </si>
  <si>
    <t>OUTREACH</t>
  </si>
  <si>
    <t>PORTAGE</t>
  </si>
  <si>
    <t>STAFFING</t>
  </si>
  <si>
    <t>NON-</t>
  </si>
  <si>
    <t>PFI</t>
  </si>
  <si>
    <t>PUPIL</t>
  </si>
  <si>
    <t>ASSESSMENT</t>
  </si>
  <si>
    <t>SPLIT</t>
  </si>
  <si>
    <t>RESIDENTIAL</t>
  </si>
  <si>
    <t>TRANSITION</t>
  </si>
  <si>
    <t>ROUNDING</t>
  </si>
  <si>
    <t>CASH LTD</t>
  </si>
  <si>
    <t>NET</t>
  </si>
  <si>
    <t>SCHOOL</t>
  </si>
  <si>
    <t>BLOCK</t>
  </si>
  <si>
    <t>FUNDING</t>
  </si>
  <si>
    <t>PLACES</t>
  </si>
  <si>
    <t>SITE</t>
  </si>
  <si>
    <t>BUDGET</t>
  </si>
  <si>
    <t>MEALS</t>
  </si>
  <si>
    <t>FACTOR</t>
  </si>
  <si>
    <t>SHARE</t>
  </si>
  <si>
    <t>£</t>
  </si>
  <si>
    <t>(2)</t>
  </si>
  <si>
    <t>(3)</t>
  </si>
  <si>
    <t>(4)</t>
  </si>
  <si>
    <t>(5)</t>
  </si>
  <si>
    <t>(6)</t>
  </si>
  <si>
    <t>(7)</t>
  </si>
  <si>
    <t>(8)</t>
  </si>
  <si>
    <t>(9)</t>
  </si>
  <si>
    <t>(10)</t>
  </si>
  <si>
    <t>(11)</t>
  </si>
  <si>
    <t>(12)</t>
  </si>
  <si>
    <t>(13)</t>
  </si>
  <si>
    <t>(14)</t>
  </si>
  <si>
    <t>(15)</t>
  </si>
  <si>
    <t>(18)</t>
  </si>
  <si>
    <t>Grantham The Phoenix</t>
  </si>
  <si>
    <t>Spilsby Lady Jane Franklin School</t>
  </si>
  <si>
    <t>Lincoln Fortuna School</t>
  </si>
  <si>
    <t>Gainsborough Aegir Community School</t>
  </si>
  <si>
    <t>Gainsborough Warren Wood Community School</t>
  </si>
  <si>
    <t>The Sincil School</t>
  </si>
  <si>
    <t>Boston Pilgrim Hospital School</t>
  </si>
  <si>
    <t>Transition Protection Funding</t>
  </si>
  <si>
    <t>Free School Meal Funding</t>
  </si>
  <si>
    <t>2013/14 Funding</t>
  </si>
  <si>
    <t>MFG Top-up</t>
  </si>
  <si>
    <t>Agreed Top-up</t>
  </si>
  <si>
    <t>To be allocated through Budget Shares</t>
  </si>
  <si>
    <t>Allocated in-year as Top-ups</t>
  </si>
  <si>
    <t>Numbers agreed as per EFA return</t>
  </si>
  <si>
    <t>Current free school meal charge £2.35 * 190 school days</t>
  </si>
  <si>
    <t>FSM - oct census</t>
  </si>
  <si>
    <t>PFI Blocks:</t>
  </si>
  <si>
    <t>2012-13 Funding</t>
  </si>
  <si>
    <t>Notes</t>
  </si>
  <si>
    <t>Spalding the Priory and Bourne Willoughby have changed from a Group 4 school to a Group 5.</t>
  </si>
  <si>
    <t>PFI benchmarking costs have been revised to move this charge to the schools rather than it being a centrally funded DSG budget. PFI budget reduced accordingly.</t>
  </si>
  <si>
    <t>Special Schools Funding - Lincolnshire Model 2013/14 - Pre &amp; Post 16 Children</t>
  </si>
  <si>
    <t>Pre-16 Arrangements</t>
  </si>
  <si>
    <t>Post-16 Arrangements</t>
  </si>
  <si>
    <t>**</t>
  </si>
  <si>
    <t>Additions in MFG - DfE Requirements</t>
  </si>
  <si>
    <t>MFG Top-up Add'</t>
  </si>
  <si>
    <t>Total Funding Requirement</t>
  </si>
  <si>
    <t>Calculated Budget Shares</t>
  </si>
  <si>
    <t>MFG - Top-ups</t>
  </si>
  <si>
    <t>Portage Funding</t>
  </si>
  <si>
    <t>Residential Funding</t>
  </si>
  <si>
    <t>Pre-16</t>
  </si>
  <si>
    <t>Post-16</t>
  </si>
  <si>
    <t>Pre-16 Funding</t>
  </si>
  <si>
    <t>Post-16 Funding</t>
  </si>
  <si>
    <t>April - August Funding</t>
  </si>
  <si>
    <t>April - August Numbers</t>
  </si>
  <si>
    <t>Sept - March Numbers</t>
  </si>
  <si>
    <t>September - March Funding</t>
  </si>
  <si>
    <t>Total Banded Funding</t>
  </si>
  <si>
    <t>Average Pupil Numbers</t>
  </si>
  <si>
    <t>Ave NoR</t>
  </si>
  <si>
    <t>LSN Costs Delegation</t>
  </si>
  <si>
    <t>Overview</t>
  </si>
  <si>
    <t>To determine the top-up funding for 2013/14, the Lincolnshire special schools formula has been run in the background. This is because of the following:</t>
  </si>
  <si>
    <t>a.</t>
  </si>
  <si>
    <t>To provide transparency to how the top-up funding is calculated.</t>
  </si>
  <si>
    <t>b.</t>
  </si>
  <si>
    <t>To provide stability in funding for special schools.</t>
  </si>
  <si>
    <t>Overall, increase in pupils (or places by 35).</t>
  </si>
  <si>
    <t>Pre-16 Places Apr-Aug</t>
  </si>
  <si>
    <t>Pre-16 Places Sept-Mar</t>
  </si>
  <si>
    <t>Total Pre-16 Funding</t>
  </si>
  <si>
    <t>Post-16 Places Apr-Aug</t>
  </si>
  <si>
    <t>Post-16 Places Sept-Mar</t>
  </si>
  <si>
    <t>Place-led Funding Apri-July</t>
  </si>
  <si>
    <t>Top-up Funding Apr-July</t>
  </si>
  <si>
    <t>Place-led Funding August</t>
  </si>
  <si>
    <t>Top-up Funding August</t>
  </si>
  <si>
    <t>Place Value</t>
  </si>
  <si>
    <t>Element 1 (£4,977) and Element 2 (£6,000) will be allocated to the LA from the EFA, which will be passported to schools.</t>
  </si>
  <si>
    <t>The LA has determined the total cost per child as the same for pre and post-16, therefore the additional £977 determined through the place-led funding will deducted from the agreed top-up rate.</t>
  </si>
  <si>
    <t>Total Post-16 Place Funding</t>
  </si>
  <si>
    <t>Total Post-16 Top up Funding</t>
  </si>
  <si>
    <t>Place-led Funding Sept-Mar</t>
  </si>
  <si>
    <t>Top-up Funding Sept-Mar</t>
  </si>
  <si>
    <t>Overall Place Funding</t>
  </si>
  <si>
    <t>Overall Top-up Funding</t>
  </si>
  <si>
    <t>Final Budgets</t>
  </si>
  <si>
    <t>Note a</t>
  </si>
  <si>
    <t>Note b</t>
  </si>
  <si>
    <t>DfE No:</t>
  </si>
  <si>
    <t>Place-led Funding Apri-Aug</t>
  </si>
  <si>
    <t>DfE Number</t>
  </si>
  <si>
    <t>Top-up Funding Apr-Aug</t>
  </si>
  <si>
    <t>2011-12 Portage Approach</t>
  </si>
  <si>
    <t>2012-13 Portage Approach</t>
  </si>
  <si>
    <t>2012-13 Specialist Schools Funding</t>
  </si>
  <si>
    <t>2011-12 Outreach Places</t>
  </si>
  <si>
    <t>2011-12 Outreach Funding</t>
  </si>
  <si>
    <t>2012-13 Outreach Funding</t>
  </si>
  <si>
    <t>*</t>
  </si>
  <si>
    <t>Portage</t>
  </si>
  <si>
    <t>Original outreach funding is being provided to Gosberton &amp; St Christopher's (£51,500), St Francis (£88,936) and Boston Pilgrim (£408,510). A bid has been agreed by DMT for an additional £0.325m annually for a period of two years from the DSG to establish some further outreach packages from special schools across the 7 districts. This is excluded from this with it being one-off funding.</t>
  </si>
  <si>
    <t>Specialist Schools</t>
  </si>
  <si>
    <t>Six special schools receive funding for specialist school status through the mainstreamed grants (£0.060m per school). This funding is being used to provide outreach support to schools in their community according to their specialism. A pathfinder outreach funding programme has also been established to support outreach work in Lincolnshire from September 2011, which is being undertaken by other special schools. It is proposed that these schools continue to receive this £0.060m allocation to provide outreach support for the remainder of the funding period 2012-13 – 2013-14.</t>
  </si>
  <si>
    <t>* Lincoln St Christopher's School will receive one-year protection based on the previous year's allocation, however in 2013-14 the allocation will reduce to £51,500 (comparable with Gosberton House School).</t>
  </si>
  <si>
    <t>2013-14 Portage Approach</t>
  </si>
  <si>
    <t>OUTREACH/PORTAGE FUNDING - Overview</t>
  </si>
  <si>
    <t>***</t>
  </si>
  <si>
    <t>** Boston Pilgrim Hospital School: Funding for outreach is part of the schools formula (for protection purposes). The schools' overall funding has not risen through the development of the hospital schools funding formula. The £408,510 has been separated from the remaining schools' formula to identify the outreach funding.</t>
  </si>
  <si>
    <t>2013-14 Outreach Funding</t>
  </si>
  <si>
    <t>The Portage Programme has been developed in-conjunction with the Special Schools Formula review. All schools that are part of the scheme receive an allocation of £35,258. See attached protocol for the Portage Programme for reference along with calculation of the funding per school. Queen's Park did receive £55,122 in 2011/12 (for protection purposes), but in 2012/13 this has reduced to £35,258 in line with the other portage schools. Horncastle St Lawrence has been given portage funding in 2013/14 to replace the Children's Services locality funding that was in place. A review of all portage funding will be undertaken ***.</t>
  </si>
  <si>
    <t>M.Popplewell 14.03.2013</t>
  </si>
  <si>
    <t>2013-14</t>
  </si>
  <si>
    <t>Provision will end at 30th June 2013</t>
  </si>
  <si>
    <t>Residential funding will be reviewed in 2013/14</t>
  </si>
  <si>
    <t xml:space="preserve">2012-13 Residential Funding </t>
  </si>
  <si>
    <t xml:space="preserve">2013-14 Residential Funding </t>
  </si>
  <si>
    <t>Average Band Value for Commissioned Places above the Agreed Places</t>
  </si>
  <si>
    <t>LSN Costs</t>
  </si>
  <si>
    <t>Special Schools Funding - Lincolnshire Model 2013/14</t>
  </si>
  <si>
    <t>Band Descriptor</t>
  </si>
  <si>
    <t>2013/14 Ave NoR</t>
  </si>
  <si>
    <t>Total In-Year Budget Required</t>
  </si>
  <si>
    <t>Total Cost per Place</t>
  </si>
  <si>
    <t>Band Descriptor Profile</t>
  </si>
  <si>
    <t>School Percentage Profile</t>
  </si>
  <si>
    <t>ISB Weightings</t>
  </si>
  <si>
    <t>Budget Shares</t>
  </si>
  <si>
    <t>* Average band value for commissioned places above the agreed places;</t>
  </si>
  <si>
    <t>* Commissioned Funding (namely, Residential Funding, Outreach and Portage).</t>
  </si>
  <si>
    <t>Agreed Places</t>
  </si>
  <si>
    <t>Commissioned Services</t>
  </si>
  <si>
    <t>Group Value of Hospital School</t>
  </si>
  <si>
    <t>THE HOSPITAL SCHOOLS FORMULA BUDGET ALLOCATION SPREADSHEET CONTAINS THE FOLLOWING WORKSHEETS</t>
  </si>
  <si>
    <t>2013/14 Ave NOR</t>
  </si>
  <si>
    <t>Special Schools Funding - Lincolnshire Model 2014-15</t>
  </si>
  <si>
    <t>2014-15 Portage Approach</t>
  </si>
  <si>
    <t>2014-15 Outreach Funding</t>
  </si>
  <si>
    <t xml:space="preserve">2014-15 Residential Funding </t>
  </si>
  <si>
    <t>ONE-OFF DEDICATED SCHOOLS GRANT ALLOCATIONS ADDED TO BUDGET SHARE 2014/15</t>
  </si>
  <si>
    <t>Percentage Share of Non Staffing Block</t>
  </si>
  <si>
    <t>Additional</t>
  </si>
  <si>
    <t>Non Staffing</t>
  </si>
  <si>
    <t>school</t>
  </si>
  <si>
    <t>Allocation</t>
  </si>
  <si>
    <t>Lincoln The Fortuna</t>
  </si>
  <si>
    <t>Lincoln St Francis</t>
  </si>
  <si>
    <t>Lincoln The Sincil</t>
  </si>
  <si>
    <t>South Rauceby Ash Villa</t>
  </si>
  <si>
    <t>Bourne The Willoughby</t>
  </si>
  <si>
    <t>Earmarked one-off funding based on the 2013/14 Budget Share Non-Staffing Block</t>
  </si>
  <si>
    <t>2014/15 Ave NoR</t>
  </si>
  <si>
    <t>Special Schools Funding - Lincolnshire Model 2014/15 - Pre &amp; Post 16 Children</t>
  </si>
  <si>
    <t>as originally funded</t>
  </si>
  <si>
    <t>new funding</t>
  </si>
  <si>
    <t>original DFC</t>
  </si>
  <si>
    <t>Non Staffing Block</t>
  </si>
  <si>
    <t>orig DFC</t>
  </si>
  <si>
    <t>pupil</t>
  </si>
  <si>
    <t>block</t>
  </si>
  <si>
    <t>grossed up</t>
  </si>
  <si>
    <t>difference</t>
  </si>
  <si>
    <t>total special</t>
  </si>
  <si>
    <t>Amount to Allocate</t>
  </si>
  <si>
    <t>% Share of Block</t>
  </si>
  <si>
    <t>Methodology of using the Non-Staffing Block calculated from the 2013/14 budget share calculation to determine the distribution of one-off funding.</t>
  </si>
  <si>
    <t>ASH VILLA HOSPITAL SCHOOL FUNDING</t>
  </si>
  <si>
    <t xml:space="preserve"> </t>
  </si>
  <si>
    <t>2017/18 Funding</t>
  </si>
  <si>
    <t>% Band 1</t>
  </si>
  <si>
    <t xml:space="preserve">% Band 2 </t>
  </si>
  <si>
    <t>% Band 3</t>
  </si>
  <si>
    <t>%Band 4</t>
  </si>
  <si>
    <t>% Band 5</t>
  </si>
  <si>
    <t>Special Schools Funding - Lincolnshire Model 2017/18 - Pre &amp; Post 16 Children</t>
  </si>
  <si>
    <t>Group 6/7</t>
  </si>
  <si>
    <t>Group 2</t>
  </si>
  <si>
    <t>Minimum Funding Guarantee Allocation</t>
  </si>
  <si>
    <t>Places</t>
  </si>
  <si>
    <t>Place Funding</t>
  </si>
  <si>
    <t>Top up Value</t>
  </si>
  <si>
    <t>Top up Funding</t>
  </si>
  <si>
    <t>Band 4+</t>
  </si>
  <si>
    <t>1 to 1 Ratio</t>
  </si>
  <si>
    <t>* The budget shares, populated through DfE place and top-up funding</t>
  </si>
  <si>
    <t>Indicative Total Budget Shares</t>
  </si>
  <si>
    <t>0.5% Settlement Increase</t>
  </si>
  <si>
    <t>The individual budget for Ash Villa Hospital School has been calculated. Please see Budget Shares tab where the following information is displayed:</t>
  </si>
  <si>
    <r>
      <t>* The band descriptor profile for the school across the six bands.</t>
    </r>
    <r>
      <rPr>
        <sz val="10"/>
        <color theme="1"/>
        <rFont val="Arial"/>
        <family val="2"/>
      </rPr>
      <t xml:space="preserve"> </t>
    </r>
  </si>
  <si>
    <t>ESFA Presentation of Budgets</t>
  </si>
  <si>
    <t>Schools</t>
  </si>
  <si>
    <t>Lump sum</t>
  </si>
  <si>
    <t>Pupil-led</t>
  </si>
  <si>
    <t>Special School places</t>
  </si>
  <si>
    <t>Pilgrim</t>
  </si>
  <si>
    <t>Ash Villa</t>
  </si>
  <si>
    <t>TLC</t>
  </si>
  <si>
    <t>Funding Envelope</t>
  </si>
  <si>
    <t>Per Pupil</t>
  </si>
  <si>
    <t>LS</t>
  </si>
  <si>
    <t>PP</t>
  </si>
  <si>
    <t>John Fielding School</t>
  </si>
  <si>
    <t>Sandon School</t>
  </si>
  <si>
    <t>St Bernard's School</t>
  </si>
  <si>
    <t>Eresby Special School</t>
  </si>
  <si>
    <t>Ambergate Sports College</t>
  </si>
  <si>
    <t>Boston Pilgrim</t>
  </si>
  <si>
    <t>The Priory School</t>
  </si>
  <si>
    <t>St Lawrence School</t>
  </si>
  <si>
    <t>Fortuna School</t>
  </si>
  <si>
    <t>Amount to allocate</t>
  </si>
  <si>
    <t>Phoenix Academy Trust</t>
  </si>
  <si>
    <t>% share of Non-Staffing Block</t>
  </si>
  <si>
    <t>Athena School</t>
  </si>
  <si>
    <t>Woodlands Academy</t>
  </si>
  <si>
    <t>Warren Wood Specialist Academy</t>
  </si>
  <si>
    <t>Aegir Specialist Academy</t>
  </si>
  <si>
    <t>Roundings</t>
  </si>
  <si>
    <t>Pupil-led Element</t>
  </si>
  <si>
    <t>Incremental Rate (£3m)</t>
  </si>
  <si>
    <t>Surplus Amount</t>
  </si>
  <si>
    <t>Additional Amount Per Pupil</t>
  </si>
  <si>
    <t>Added to the £33.75</t>
  </si>
  <si>
    <t>Rounded</t>
  </si>
  <si>
    <t>1.0% Settlement Increase</t>
  </si>
  <si>
    <t>Average 2019/20</t>
  </si>
  <si>
    <t>Individual Schools Budget 2020/21</t>
  </si>
  <si>
    <t>Agreed Uplift</t>
  </si>
  <si>
    <t>2019/20 Funding</t>
  </si>
  <si>
    <t>Original 2020/21 Funding</t>
  </si>
  <si>
    <t>Average 2020/21</t>
  </si>
  <si>
    <t>Agreed MFG Funding 2020/21</t>
  </si>
  <si>
    <t>Special Schools Funding Formula 2020/21</t>
  </si>
  <si>
    <t>Indicative 2020/21 Funding</t>
  </si>
  <si>
    <t>April 20 - August 20: Pre-16 Places</t>
  </si>
  <si>
    <t>September 20 - March 21:  Pre-16 Places</t>
  </si>
  <si>
    <t>2020/21 Indicative Place-led and Top-up Funding</t>
  </si>
  <si>
    <t>Agreed 2020/21 Place Numbers</t>
  </si>
  <si>
    <t>Pre-16: April 20 - August 20</t>
  </si>
  <si>
    <t>Pre-16: September 20 - March 21</t>
  </si>
  <si>
    <t>Post-16: April 20 - July 20</t>
  </si>
  <si>
    <t>Post-16: August 20 - March 21</t>
  </si>
  <si>
    <t>This provides the detail behind the Hospital Schools funding formula for 2020/21</t>
  </si>
  <si>
    <t>* 2019/20 and 2020/21 calculated hospital schools funding using the current formula;</t>
  </si>
  <si>
    <t>* Identifies a schools total indicative budget share for 2020/21 including those commissioned functions.</t>
  </si>
  <si>
    <t>2. The agreed number of FTE places with the Local Authority for the financial year 2020/21.</t>
  </si>
  <si>
    <t>5. The band descriptor profile for the school.</t>
  </si>
  <si>
    <t>6. Special school band descriptors detailing staffing ratio's and monetary sums that determine a school banded funding and commissioned place value. The band values remain cash flat for 2020/21.</t>
  </si>
  <si>
    <t xml:space="preserve">7. Indicative Funding for 2020/21 inclusive of any agreed uplift or MFG allocation (where applicable) relating to place and top up arrangements. The section provides a clear audit trail of how Lincolnshire special schools are funded through the agreed formula factors for 2020/21, before being presented through the DfE's place and top up arrangements. </t>
  </si>
  <si>
    <t>8. The calculated place funding using the DfE place values and the Local Authority agreed number of places for the period April 2020 to March 2021.</t>
  </si>
  <si>
    <t>9. The calculated top up funding using the agreed top up rate and the Local Authority agreed number of places for the period April 2020 to March 2021. In line with the DfE requirements of ensuring top ups follow the child, the Local Authority intends to review termly data, and the relevant adjustments (both upwards and downwards) will be applied.</t>
  </si>
  <si>
    <t xml:space="preserve">10. Hospital School 2020/21 Indicative Place-Led and Top-Up Funding. </t>
  </si>
  <si>
    <t>11. Other Special School funding Arrangements: commissioned arrangements (annual agreements).</t>
  </si>
  <si>
    <t>12. Hospital Schools Indicative Total Budget Share.</t>
  </si>
  <si>
    <t>13. Pre-16 Places: Agreed number of school places for pre-16 provision. The periods of funding are as follows: April 20 - August 20 (AY2019/20 brought forward places) and September 20 - March 21 (newly agreed places). Such places have been used to calculate schools banded funding.</t>
  </si>
  <si>
    <t>14. Post-16 Places: Agreed number of school places for post-16 provision. The periods of funding are as follows: April 20 - July 20 and August 20 - March 21.</t>
  </si>
  <si>
    <t>15. Special Schools funding block formula for 2020/21. Monetary amounts remain cash flat for 2020/21.</t>
  </si>
  <si>
    <t xml:space="preserve">3. Agreed MFG Funding for 2020/21. This compares the level of MFG funding the School received in 2019/20 against what they will receive in 2020/21. Schools are protected by MFG when numbers and complexity of needs remains the same. The DfE's MFG arrangements however does not protect the school based on changes to place numbers or need, therefore a schools or academies budget may change if place numbers have changed. Where a school or academies per pupil rate is greater in 2020/21 than the MFG rate, the 2020/21 per pupil rate will apply, and no MFG funding will be applicable. This MFG funding is included within the overall funding for 2020/21. </t>
  </si>
  <si>
    <t>4. The same approach for in-year changes in numbers for hospital schools budgets will continue. The main objective is to create a system that will be responsive  to provide sufficient funding to enable schools to meet the child’s needs (marginal costs) where numbers increase above the agreed places. The process will involve reviewing on a termly basis the actual hours attended per term against the FTE funded hours. Where it has exceeded the FTE funded hours, the average band of the school will apply for those hours above this level. This will be allocated on a termly basis in arrears. If participation levels fall below the number of agreed FTE places (13) then the budget will be subject to reductions mid-year by the average band value (£11,692).</t>
  </si>
  <si>
    <t xml:space="preserve">FINANCIAL YEAR 2020/21
DISTRIBUTION OF THE INDIVIDUAL SCHOOLS BUDGET
Ash Villa Hospital School
In April 2013, a new national approach to funding hospital education was introduced following the DfE School Funding Reform changes. The DfE has applied a national top-slice across Local Authorities pro-rata to their Dedicated Schools Grant. The DfE have paid this over to Local Authorities that have hospital provision based on their current levels of spend. Funding to hospital education providers will be passported directly to the educating institutions by the maintaining Local Authority (i.e. Lincolnshire County Council).
The hospital schools formula was implemented in 2012/13 which used the same principles and characteristics as the main special schools formula. This approach will continue in 2020/21, although the Local Authority intends to carry out a review of the current funding arrangements. 
For 2020/21, Ash Villa Hospital School will be funded through the band 4 (medical) descriptor with an agreed number of FTE places. The number of places has remained at 13. As per main special schools, Ash Villa Hospital School will be required to complete regular returns detailing participation levels at the school. This provision will be calculated in hourly blocks rather than weeks as numbers are not static. For 2020/21, if participation levels fall below the number of agreed FTE places (13) then the budget will be subject to adjustments using the average band value (£11,692) as the basis of any reduction. However if participation levels increase above the number of agreed FTE places (13) then Ash Villa Hospital School will receive commissioned based funding based on the band 4 value of £11,692.
Place Funding for Ash Villa will be transferred as one lump sum through a virement, whereas the top up element of funding will be actioned monthly via a recharge code. Any commissioned funding adjustments will be allocated on a termly basis (based on the school's completed return), and these will also be made via a recharge code.
The Local Authority has agreed to fund Ash Villa Hospital School on 13 FTE places until the end of the Academic year 2020/21 i.e. August 2021. During this period, the Local Authority will review occupancy within the school to ensure that the places are being utilised and are set at the right level. This may mean places for the Academic Year 2021/22 are adjusted downwards / upwards, depending on the market. To enable the Local Authority to review occupancy it is vital that Ash Villa Hospital School complete the required returns detailing the hourly participation levels.
</t>
  </si>
  <si>
    <t>* 2020/21 MFG Protection</t>
  </si>
  <si>
    <t>1. The total 2020/21 indicative place and top-up funding allocation. The 1.0% Settlement increase that was applied to 2019/20 spending levels has been replicated within the 2020/21 budget share, but no additional % uplift has been incorporated for 2020/21. A comparison has then been made to the 2019/20 Ash Villa School funding for MFG calculation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</si>
</sst>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0.0"/>
    <numFmt numFmtId="166" formatCode="&quot;£&quot;#,##0.00"/>
    <numFmt numFmtId="167" formatCode="0.0%"/>
    <numFmt numFmtId="168" formatCode="_(&quot;$&quot;* #,##0.00_);_(&quot;$&quot;* \(#,##0.00\);_(&quot;$&quot;* &quot;-&quot;??_);_(@_)"/>
    <numFmt numFmtId="169" formatCode="0_)"/>
    <numFmt numFmtId="170" formatCode="0.00_)"/>
    <numFmt numFmtId="171" formatCode="#,##0.0"/>
    <numFmt numFmtId="172" formatCode="0000"/>
    <numFmt numFmtId="173" formatCode="_(* #,##0_);_(* \(#,##0\);_(* &quot;-&quot;??_);_(@_)"/>
  </numFmts>
  <fonts count="65" x14ac:knownFonts="1">
    <font>
      <sz val="10"/>
      <name val="Arial"/>
    </font>
    <font>
      <sz val="11"/>
      <color theme="1"/>
      <name val="Calibri"/>
      <family val="2"/>
      <scheme val="minor"/>
    </font>
    <font>
      <sz val="10"/>
      <name val="Arial"/>
      <family val="2"/>
    </font>
    <font>
      <sz val="8"/>
      <name val="Arial"/>
      <family val="2"/>
    </font>
    <font>
      <u/>
      <sz val="10"/>
      <name val="Arial"/>
      <family val="2"/>
    </font>
    <font>
      <sz val="10"/>
      <name val="Arial"/>
      <family val="2"/>
    </font>
    <font>
      <sz val="16"/>
      <name val="Arial"/>
      <family val="2"/>
    </font>
    <font>
      <b/>
      <sz val="10"/>
      <name val="Arial"/>
      <family val="2"/>
    </font>
    <font>
      <b/>
      <u/>
      <sz val="10"/>
      <name val="Arial"/>
      <family val="2"/>
    </font>
    <font>
      <b/>
      <sz val="8"/>
      <name val="Arial"/>
      <family val="2"/>
    </font>
    <font>
      <sz val="8"/>
      <name val="Arial"/>
      <family val="2"/>
    </font>
    <font>
      <sz val="10"/>
      <name val="Times New Roman"/>
      <family val="1"/>
    </font>
    <font>
      <b/>
      <sz val="10"/>
      <color indexed="8"/>
      <name val="Times New Roman"/>
      <family val="1"/>
    </font>
    <font>
      <b/>
      <sz val="10"/>
      <name val="Times New Roman"/>
      <family val="1"/>
    </font>
    <font>
      <i/>
      <sz val="10"/>
      <name val="Times New Roman"/>
      <family val="1"/>
    </font>
    <font>
      <sz val="19"/>
      <name val="Times New Roman"/>
      <family val="1"/>
    </font>
    <font>
      <u/>
      <sz val="10"/>
      <name val="Arial"/>
      <family val="2"/>
    </font>
    <font>
      <b/>
      <i/>
      <sz val="10"/>
      <name val="Arial"/>
      <family val="2"/>
    </font>
    <font>
      <i/>
      <sz val="10"/>
      <name val="Arial"/>
      <family val="2"/>
    </font>
    <font>
      <sz val="11"/>
      <name val="Arial"/>
      <family val="2"/>
    </font>
    <font>
      <sz val="14"/>
      <name val="Arial"/>
      <family val="2"/>
    </font>
    <font>
      <sz val="9"/>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sz val="10"/>
      <color indexed="8"/>
      <name val="Arial"/>
      <family val="2"/>
    </font>
    <font>
      <sz val="10"/>
      <color indexed="21"/>
      <name val="System"/>
      <family val="2"/>
    </font>
    <font>
      <sz val="9"/>
      <color indexed="18"/>
      <name val="Arial"/>
      <family val="2"/>
    </font>
    <font>
      <sz val="10"/>
      <color indexed="18"/>
      <name val="System"/>
      <family val="2"/>
    </font>
    <font>
      <i/>
      <sz val="10"/>
      <color indexed="17"/>
      <name val="System"/>
      <family val="2"/>
    </font>
    <font>
      <sz val="10"/>
      <color indexed="14"/>
      <name val="System"/>
      <family val="2"/>
    </font>
    <font>
      <sz val="9"/>
      <name val="Arial"/>
      <family val="2"/>
    </font>
    <font>
      <sz val="10"/>
      <color indexed="17"/>
      <name val="System"/>
      <family val="2"/>
    </font>
    <font>
      <u/>
      <sz val="12"/>
      <name val="Arial"/>
      <family val="2"/>
    </font>
    <font>
      <b/>
      <sz val="7"/>
      <name val="Courier New"/>
      <family val="3"/>
    </font>
    <font>
      <sz val="7"/>
      <name val="Courier New"/>
      <family val="3"/>
    </font>
    <font>
      <b/>
      <sz val="9"/>
      <color indexed="8"/>
      <name val="Arial"/>
      <family val="2"/>
    </font>
    <font>
      <sz val="10"/>
      <name val="MS Sans Serif"/>
      <family val="2"/>
    </font>
    <font>
      <b/>
      <sz val="14"/>
      <name val="Arial"/>
      <family val="2"/>
    </font>
    <font>
      <b/>
      <sz val="11"/>
      <name val="Arial"/>
      <family val="2"/>
    </font>
    <font>
      <b/>
      <sz val="10"/>
      <color indexed="9"/>
      <name val="Arial"/>
      <family val="2"/>
    </font>
    <font>
      <b/>
      <sz val="10"/>
      <color indexed="12"/>
      <name val="Arial"/>
      <family val="2"/>
    </font>
    <font>
      <sz val="12"/>
      <name val="Calibri"/>
      <family val="2"/>
    </font>
    <font>
      <sz val="10"/>
      <name val="Calibri"/>
      <family val="2"/>
    </font>
    <font>
      <sz val="10"/>
      <color indexed="10"/>
      <name val="Arial"/>
      <family val="2"/>
    </font>
    <font>
      <sz val="8"/>
      <name val="Arial"/>
      <family val="2"/>
    </font>
    <font>
      <sz val="11"/>
      <color theme="1"/>
      <name val="Calibri"/>
      <family val="2"/>
      <scheme val="minor"/>
    </font>
    <font>
      <sz val="10"/>
      <color rgb="FFFF0000"/>
      <name val="Arial"/>
      <family val="2"/>
    </font>
    <font>
      <sz val="10"/>
      <color theme="1"/>
      <name val="Arial"/>
      <family val="2"/>
    </font>
    <font>
      <b/>
      <sz val="10"/>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solid">
        <fgColor indexed="40"/>
        <bgColor indexed="64"/>
      </patternFill>
    </fill>
    <fill>
      <patternFill patternType="solid">
        <fgColor indexed="9"/>
        <bgColor indexed="9"/>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indexed="45"/>
        <bgColor indexed="9"/>
      </patternFill>
    </fill>
    <fill>
      <patternFill patternType="solid">
        <fgColor indexed="47"/>
        <bgColor indexed="9"/>
      </patternFill>
    </fill>
    <fill>
      <patternFill patternType="solid">
        <fgColor indexed="43"/>
        <bgColor indexed="9"/>
      </patternFill>
    </fill>
    <fill>
      <patternFill patternType="solid">
        <fgColor indexed="42"/>
        <bgColor indexed="9"/>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13"/>
      </top>
      <bottom style="thin">
        <color indexed="1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85">
    <xf numFmtId="0" fontId="0" fillId="0" borderId="0"/>
    <xf numFmtId="0" fontId="2" fillId="0" borderId="0"/>
    <xf numFmtId="0" fontId="5" fillId="0" borderId="0"/>
    <xf numFmtId="0" fontId="2" fillId="0" borderId="0"/>
    <xf numFmtId="0" fontId="5"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43" fontId="11" fillId="0" borderId="0" applyFont="0" applyFill="0" applyBorder="0" applyAlignment="0" applyProtection="0"/>
    <xf numFmtId="44" fontId="22" fillId="0" borderId="0" applyFont="0" applyFill="0" applyBorder="0" applyAlignment="0" applyProtection="0"/>
    <xf numFmtId="0" fontId="41" fillId="0" borderId="0" applyNumberFormat="0" applyFill="0" applyBorder="0" applyAlignment="0" applyProtection="0">
      <protection locked="0"/>
    </xf>
    <xf numFmtId="0" fontId="27" fillId="0" borderId="0" applyNumberFormat="0" applyFill="0" applyBorder="0" applyAlignment="0" applyProtection="0"/>
    <xf numFmtId="1" fontId="42" fillId="0" borderId="0" applyNumberFormat="0" applyFill="0" applyBorder="0" applyAlignment="0" applyProtection="0"/>
    <xf numFmtId="0" fontId="28" fillId="4" borderId="0" applyNumberFormat="0" applyBorder="0" applyAlignment="0" applyProtection="0"/>
    <xf numFmtId="0" fontId="7" fillId="0" borderId="0">
      <alignment horizontal="right" vertical="top"/>
    </xf>
    <xf numFmtId="0" fontId="9" fillId="0" borderId="0">
      <alignment horizontal="center" vertical="center" wrapText="1"/>
    </xf>
    <xf numFmtId="0" fontId="10" fillId="0" borderId="3">
      <alignment horizontal="center" vertical="center" wrapText="1"/>
    </xf>
    <xf numFmtId="0" fontId="9" fillId="0" borderId="0">
      <alignment horizontal="left" wrapText="1"/>
    </xf>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1" fontId="43" fillId="0" borderId="0" applyNumberFormat="0" applyFill="0" applyBorder="0" applyAlignment="0" applyProtection="0"/>
    <xf numFmtId="0" fontId="32" fillId="7" borderId="1" applyNumberFormat="0" applyAlignment="0" applyProtection="0"/>
    <xf numFmtId="0" fontId="10" fillId="0" borderId="0">
      <alignment horizontal="left" vertical="center"/>
    </xf>
    <xf numFmtId="0" fontId="10" fillId="0" borderId="0">
      <alignment horizontal="center" vertical="center"/>
    </xf>
    <xf numFmtId="0" fontId="33" fillId="0" borderId="7" applyNumberFormat="0" applyFill="0" applyAlignment="0" applyProtection="0"/>
    <xf numFmtId="10" fontId="44" fillId="0" borderId="8" applyFill="0" applyAlignment="0" applyProtection="0">
      <protection locked="0"/>
    </xf>
    <xf numFmtId="0" fontId="34" fillId="22" borderId="0" applyNumberFormat="0" applyBorder="0" applyAlignment="0" applyProtection="0"/>
    <xf numFmtId="0" fontId="11" fillId="0" borderId="0"/>
    <xf numFmtId="0" fontId="5" fillId="0" borderId="0" applyNumberFormat="0" applyFill="0" applyBorder="0" applyAlignment="0" applyProtection="0"/>
    <xf numFmtId="0" fontId="5" fillId="0" borderId="0"/>
    <xf numFmtId="0" fontId="61" fillId="0" borderId="0"/>
    <xf numFmtId="0" fontId="22" fillId="0" borderId="0"/>
    <xf numFmtId="0" fontId="19" fillId="0" borderId="0"/>
    <xf numFmtId="0" fontId="52" fillId="0" borderId="0"/>
    <xf numFmtId="0" fontId="22" fillId="0" borderId="0"/>
    <xf numFmtId="0" fontId="19" fillId="0" borderId="0"/>
    <xf numFmtId="0" fontId="19" fillId="0" borderId="0"/>
    <xf numFmtId="0" fontId="22" fillId="23" borderId="9" applyNumberFormat="0" applyFont="0" applyAlignment="0" applyProtection="0"/>
    <xf numFmtId="3" fontId="10" fillId="0" borderId="0">
      <alignment horizontal="right"/>
    </xf>
    <xf numFmtId="0" fontId="35" fillId="20" borderId="10" applyNumberFormat="0" applyAlignment="0" applyProtection="0"/>
    <xf numFmtId="1" fontId="45" fillId="0" borderId="11" applyNumberFormat="0" applyFill="0" applyBorder="0" applyAlignment="0" applyProtection="0"/>
    <xf numFmtId="4" fontId="12" fillId="0" borderId="12" applyNumberFormat="0" applyProtection="0">
      <alignment vertical="center"/>
    </xf>
    <xf numFmtId="4" fontId="12" fillId="0" borderId="13" applyNumberFormat="0" applyProtection="0">
      <alignment horizontal="centerContinuous" vertical="center"/>
    </xf>
    <xf numFmtId="0" fontId="13" fillId="0" borderId="14" applyNumberFormat="0" applyProtection="0">
      <alignment vertical="center"/>
    </xf>
    <xf numFmtId="0" fontId="13" fillId="0" borderId="15" applyNumberFormat="0" applyProtection="0">
      <alignment horizontal="left" vertical="center" indent="1"/>
    </xf>
    <xf numFmtId="0" fontId="14" fillId="0" borderId="15" applyNumberFormat="0" applyProtection="0">
      <alignment horizontal="left" vertical="center" indent="1"/>
    </xf>
    <xf numFmtId="0" fontId="12" fillId="0" borderId="16" applyNumberFormat="0" applyProtection="0">
      <alignment horizontal="right" vertical="top" wrapText="1"/>
    </xf>
    <xf numFmtId="4" fontId="15" fillId="0" borderId="17" applyNumberFormat="0" applyProtection="0">
      <alignment horizontal="left" vertical="center" indent="1"/>
    </xf>
    <xf numFmtId="0" fontId="2" fillId="0" borderId="0"/>
    <xf numFmtId="0" fontId="3" fillId="0" borderId="18" applyBorder="0">
      <alignment horizontal="right"/>
    </xf>
    <xf numFmtId="168" fontId="2" fillId="0" borderId="0"/>
    <xf numFmtId="168" fontId="2" fillId="0" borderId="0"/>
    <xf numFmtId="168" fontId="2" fillId="0" borderId="0"/>
    <xf numFmtId="0" fontId="36" fillId="0" borderId="0" applyNumberFormat="0" applyFill="0" applyBorder="0" applyAlignment="0" applyProtection="0"/>
    <xf numFmtId="0" fontId="37" fillId="0" borderId="19"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38" fillId="0" borderId="0" applyNumberFormat="0" applyFill="0" applyBorder="0" applyAlignment="0" applyProtection="0"/>
    <xf numFmtId="0" fontId="1" fillId="0" borderId="0"/>
  </cellStyleXfs>
  <cellXfs count="582">
    <xf numFmtId="0" fontId="0" fillId="0" borderId="0" xfId="0"/>
    <xf numFmtId="0" fontId="4" fillId="0" borderId="0" xfId="0" applyFont="1"/>
    <xf numFmtId="0" fontId="0" fillId="0" borderId="0" xfId="0" applyAlignment="1">
      <alignment horizontal="center"/>
    </xf>
    <xf numFmtId="0" fontId="5" fillId="0" borderId="0" xfId="0" applyFont="1" applyAlignment="1"/>
    <xf numFmtId="0" fontId="0" fillId="0" borderId="0" xfId="0" applyAlignment="1">
      <alignment horizontal="right"/>
    </xf>
    <xf numFmtId="0" fontId="6" fillId="0" borderId="0" xfId="0" applyFont="1"/>
    <xf numFmtId="0" fontId="7" fillId="0" borderId="0" xfId="0" applyFont="1" applyAlignment="1">
      <alignment horizontal="center"/>
    </xf>
    <xf numFmtId="0" fontId="5" fillId="0" borderId="0" xfId="0" applyFont="1"/>
    <xf numFmtId="0" fontId="8" fillId="0" borderId="0" xfId="0" applyFont="1"/>
    <xf numFmtId="0" fontId="0" fillId="0" borderId="12" xfId="0" applyBorder="1" applyAlignment="1">
      <alignment horizontal="center"/>
    </xf>
    <xf numFmtId="0" fontId="0" fillId="0" borderId="20" xfId="0" applyBorder="1" applyAlignment="1">
      <alignment horizontal="center"/>
    </xf>
    <xf numFmtId="0" fontId="0" fillId="24" borderId="20" xfId="0" applyFill="1" applyBorder="1" applyAlignment="1">
      <alignment horizontal="center"/>
    </xf>
    <xf numFmtId="0" fontId="0" fillId="24" borderId="12" xfId="0" applyFill="1" applyBorder="1" applyAlignment="1">
      <alignment horizontal="right"/>
    </xf>
    <xf numFmtId="0" fontId="7" fillId="24" borderId="20" xfId="0" applyFont="1" applyFill="1" applyBorder="1" applyAlignment="1">
      <alignment horizontal="center" wrapText="1"/>
    </xf>
    <xf numFmtId="0" fontId="7" fillId="24" borderId="12" xfId="0" applyFont="1" applyFill="1" applyBorder="1" applyAlignment="1">
      <alignment horizontal="right"/>
    </xf>
    <xf numFmtId="0" fontId="7" fillId="0" borderId="12" xfId="0" applyFont="1" applyBorder="1" applyAlignment="1">
      <alignment horizontal="center"/>
    </xf>
    <xf numFmtId="0" fontId="7" fillId="0" borderId="20" xfId="0" applyFont="1" applyBorder="1" applyAlignment="1">
      <alignment horizontal="center" wrapText="1"/>
    </xf>
    <xf numFmtId="0" fontId="7" fillId="0" borderId="12" xfId="0" applyFont="1" applyBorder="1" applyAlignment="1">
      <alignment horizontal="center" wrapText="1"/>
    </xf>
    <xf numFmtId="0" fontId="0" fillId="0" borderId="12" xfId="0" applyBorder="1" applyAlignment="1">
      <alignment horizontal="right"/>
    </xf>
    <xf numFmtId="0" fontId="7" fillId="0" borderId="12" xfId="0" applyFont="1" applyFill="1" applyBorder="1" applyAlignment="1">
      <alignment horizontal="center"/>
    </xf>
    <xf numFmtId="164" fontId="0" fillId="0" borderId="0" xfId="0" applyNumberFormat="1" applyAlignment="1">
      <alignment horizontal="center"/>
    </xf>
    <xf numFmtId="0" fontId="0" fillId="0" borderId="0" xfId="0" applyAlignment="1">
      <alignment wrapText="1"/>
    </xf>
    <xf numFmtId="164" fontId="0" fillId="24" borderId="12" xfId="0" applyNumberFormat="1" applyFill="1" applyBorder="1" applyAlignment="1">
      <alignment horizontal="center"/>
    </xf>
    <xf numFmtId="164" fontId="0" fillId="0" borderId="12" xfId="0" applyNumberFormat="1" applyBorder="1" applyAlignment="1">
      <alignment horizontal="center"/>
    </xf>
    <xf numFmtId="0" fontId="0" fillId="0" borderId="0" xfId="0" applyFill="1"/>
    <xf numFmtId="0" fontId="0" fillId="0" borderId="0" xfId="0" applyBorder="1"/>
    <xf numFmtId="0" fontId="0" fillId="0" borderId="0" xfId="0" applyFill="1" applyBorder="1"/>
    <xf numFmtId="0" fontId="0" fillId="0" borderId="0" xfId="0" applyBorder="1" applyAlignment="1">
      <alignment horizontal="center" wrapText="1"/>
    </xf>
    <xf numFmtId="0" fontId="0" fillId="24" borderId="21" xfId="0" applyFill="1" applyBorder="1"/>
    <xf numFmtId="0" fontId="0" fillId="24" borderId="22" xfId="0" applyFill="1" applyBorder="1" applyAlignment="1">
      <alignment horizontal="center"/>
    </xf>
    <xf numFmtId="0" fontId="0" fillId="24" borderId="22" xfId="0" applyFill="1" applyBorder="1" applyAlignment="1">
      <alignment horizontal="center" wrapText="1"/>
    </xf>
    <xf numFmtId="0" fontId="4" fillId="0" borderId="23" xfId="0" applyFont="1" applyFill="1" applyBorder="1"/>
    <xf numFmtId="0" fontId="0" fillId="0" borderId="24" xfId="0" applyFill="1" applyBorder="1"/>
    <xf numFmtId="0" fontId="0" fillId="0" borderId="25" xfId="0" applyFill="1" applyBorder="1"/>
    <xf numFmtId="0" fontId="0" fillId="0" borderId="26" xfId="0" applyFill="1" applyBorder="1"/>
    <xf numFmtId="0" fontId="0" fillId="0" borderId="27" xfId="0" applyFill="1" applyBorder="1"/>
    <xf numFmtId="0" fontId="0" fillId="0" borderId="28" xfId="0" applyFill="1" applyBorder="1"/>
    <xf numFmtId="0" fontId="5" fillId="0" borderId="0" xfId="61" applyFont="1" applyAlignment="1"/>
    <xf numFmtId="0" fontId="5" fillId="0" borderId="0" xfId="61" applyFont="1"/>
    <xf numFmtId="0" fontId="5" fillId="0" borderId="18" xfId="61" applyFont="1" applyBorder="1" applyAlignment="1"/>
    <xf numFmtId="0" fontId="5" fillId="0" borderId="12" xfId="61" applyFont="1" applyBorder="1"/>
    <xf numFmtId="0" fontId="5" fillId="0" borderId="12" xfId="61" applyFont="1" applyBorder="1" applyAlignment="1">
      <alignment horizontal="center"/>
    </xf>
    <xf numFmtId="0" fontId="5" fillId="0" borderId="12" xfId="61" applyFont="1" applyFill="1" applyBorder="1"/>
    <xf numFmtId="0" fontId="5" fillId="0" borderId="12" xfId="61" applyFont="1" applyFill="1" applyBorder="1" applyAlignment="1">
      <alignment horizontal="center"/>
    </xf>
    <xf numFmtId="0" fontId="5" fillId="0" borderId="0" xfId="61" applyFont="1" applyFill="1"/>
    <xf numFmtId="0" fontId="5" fillId="0" borderId="0" xfId="61" applyFont="1" applyAlignment="1">
      <alignment horizontal="center"/>
    </xf>
    <xf numFmtId="164" fontId="5" fillId="0" borderId="0" xfId="61" applyNumberFormat="1" applyFont="1" applyAlignment="1">
      <alignment horizontal="center"/>
    </xf>
    <xf numFmtId="0" fontId="18" fillId="0" borderId="12" xfId="61" applyFont="1" applyFill="1" applyBorder="1"/>
    <xf numFmtId="0" fontId="20" fillId="0" borderId="0" xfId="61" applyFont="1" applyAlignment="1"/>
    <xf numFmtId="0" fontId="5" fillId="0" borderId="12" xfId="0" applyFont="1" applyBorder="1" applyAlignment="1">
      <alignment horizontal="center"/>
    </xf>
    <xf numFmtId="0" fontId="5" fillId="0" borderId="12" xfId="0" applyFont="1" applyBorder="1" applyAlignment="1">
      <alignment horizontal="center" wrapText="1"/>
    </xf>
    <xf numFmtId="0" fontId="5" fillId="0" borderId="0" xfId="0" applyFont="1" applyAlignment="1">
      <alignment horizontal="center"/>
    </xf>
    <xf numFmtId="0" fontId="5" fillId="0" borderId="0" xfId="61" applyFont="1" applyBorder="1" applyAlignment="1"/>
    <xf numFmtId="0" fontId="5" fillId="0" borderId="0" xfId="61" applyFont="1" applyAlignment="1">
      <alignment horizontal="center" wrapText="1"/>
    </xf>
    <xf numFmtId="9" fontId="5" fillId="0" borderId="0" xfId="61" applyNumberFormat="1" applyFont="1" applyAlignment="1">
      <alignment horizontal="center"/>
    </xf>
    <xf numFmtId="0" fontId="5" fillId="0" borderId="0" xfId="61" applyFont="1" applyFill="1" applyBorder="1"/>
    <xf numFmtId="0" fontId="2" fillId="24" borderId="0" xfId="61" applyFont="1" applyFill="1" applyBorder="1"/>
    <xf numFmtId="0" fontId="5" fillId="0" borderId="0" xfId="61" applyFont="1" applyBorder="1"/>
    <xf numFmtId="2" fontId="5" fillId="0" borderId="0" xfId="61" applyNumberFormat="1" applyFont="1" applyAlignment="1">
      <alignment horizontal="center"/>
    </xf>
    <xf numFmtId="0" fontId="2" fillId="0" borderId="0" xfId="61" applyFont="1" applyBorder="1"/>
    <xf numFmtId="0" fontId="19" fillId="0" borderId="0" xfId="61" applyBorder="1"/>
    <xf numFmtId="0" fontId="19" fillId="0" borderId="0" xfId="61" applyBorder="1" applyAlignment="1">
      <alignment horizontal="center" wrapText="1"/>
    </xf>
    <xf numFmtId="164" fontId="19" fillId="0" borderId="0" xfId="61" applyNumberFormat="1" applyAlignment="1">
      <alignment horizontal="center"/>
    </xf>
    <xf numFmtId="2" fontId="5" fillId="0" borderId="0" xfId="61" applyNumberFormat="1" applyFont="1" applyFill="1" applyAlignment="1">
      <alignment horizontal="center"/>
    </xf>
    <xf numFmtId="0" fontId="19" fillId="24" borderId="0" xfId="61" applyFill="1" applyBorder="1"/>
    <xf numFmtId="0" fontId="19" fillId="24" borderId="0" xfId="61" applyFill="1" applyBorder="1" applyAlignment="1">
      <alignment horizontal="center" wrapText="1"/>
    </xf>
    <xf numFmtId="0" fontId="5" fillId="0" borderId="0" xfId="61" applyFont="1" applyFill="1" applyBorder="1" applyAlignment="1">
      <alignment horizontal="center"/>
    </xf>
    <xf numFmtId="164" fontId="7" fillId="0" borderId="0" xfId="61" applyNumberFormat="1" applyFont="1" applyAlignment="1">
      <alignment horizontal="center"/>
    </xf>
    <xf numFmtId="0" fontId="16" fillId="0" borderId="0" xfId="61" applyFont="1" applyAlignment="1"/>
    <xf numFmtId="164" fontId="5" fillId="0" borderId="12" xfId="61" applyNumberFormat="1" applyFont="1" applyBorder="1" applyAlignment="1">
      <alignment horizontal="center"/>
    </xf>
    <xf numFmtId="0" fontId="5" fillId="0" borderId="12" xfId="61" applyFont="1" applyBorder="1" applyAlignment="1">
      <alignment horizontal="center" wrapText="1"/>
    </xf>
    <xf numFmtId="2" fontId="5" fillId="0" borderId="0" xfId="61" applyNumberFormat="1" applyFont="1"/>
    <xf numFmtId="0" fontId="0" fillId="0" borderId="17" xfId="0" applyBorder="1"/>
    <xf numFmtId="0" fontId="0" fillId="0" borderId="29" xfId="0" applyBorder="1"/>
    <xf numFmtId="0" fontId="5" fillId="0" borderId="0" xfId="61" applyFont="1" applyAlignment="1">
      <alignment horizontal="left"/>
    </xf>
    <xf numFmtId="164" fontId="5" fillId="0" borderId="30" xfId="61" applyNumberFormat="1" applyFont="1" applyBorder="1" applyAlignment="1">
      <alignment horizontal="center"/>
    </xf>
    <xf numFmtId="164" fontId="5" fillId="0" borderId="20" xfId="61" applyNumberFormat="1" applyFont="1" applyBorder="1" applyAlignment="1">
      <alignment horizontal="center"/>
    </xf>
    <xf numFmtId="164" fontId="5" fillId="0" borderId="31" xfId="61" applyNumberFormat="1" applyFont="1" applyBorder="1" applyAlignment="1">
      <alignment horizontal="center"/>
    </xf>
    <xf numFmtId="164" fontId="5" fillId="0" borderId="0" xfId="61" applyNumberFormat="1" applyFont="1" applyBorder="1" applyAlignment="1">
      <alignment horizontal="center"/>
    </xf>
    <xf numFmtId="164" fontId="5" fillId="24" borderId="32" xfId="61" applyNumberFormat="1" applyFont="1" applyFill="1" applyBorder="1" applyAlignment="1">
      <alignment horizontal="center"/>
    </xf>
    <xf numFmtId="0" fontId="5" fillId="0" borderId="0" xfId="61" applyFont="1" applyBorder="1" applyAlignment="1">
      <alignment horizontal="left"/>
    </xf>
    <xf numFmtId="0" fontId="5" fillId="0" borderId="0" xfId="61" applyFont="1" applyBorder="1" applyAlignment="1">
      <alignment horizontal="center"/>
    </xf>
    <xf numFmtId="0" fontId="16" fillId="0" borderId="0" xfId="61" applyFont="1" applyBorder="1" applyAlignment="1"/>
    <xf numFmtId="0" fontId="5" fillId="0" borderId="0" xfId="61" applyFont="1" applyFill="1" applyAlignment="1">
      <alignment horizontal="center"/>
    </xf>
    <xf numFmtId="164" fontId="5" fillId="0" borderId="0" xfId="61" applyNumberFormat="1" applyFont="1" applyFill="1" applyAlignment="1">
      <alignment horizontal="center"/>
    </xf>
    <xf numFmtId="0" fontId="0" fillId="0" borderId="0" xfId="0" applyFill="1" applyAlignment="1">
      <alignment horizontal="center"/>
    </xf>
    <xf numFmtId="0" fontId="5" fillId="0" borderId="0" xfId="61" applyFont="1" applyAlignment="1">
      <alignment horizontal="left" wrapText="1"/>
    </xf>
    <xf numFmtId="0" fontId="7" fillId="0" borderId="0" xfId="0" applyFont="1" applyFill="1" applyAlignment="1">
      <alignment horizontal="center"/>
    </xf>
    <xf numFmtId="0" fontId="2" fillId="0" borderId="20" xfId="0" applyFont="1" applyFill="1" applyBorder="1" applyAlignment="1">
      <alignment horizontal="center"/>
    </xf>
    <xf numFmtId="0" fontId="2" fillId="0" borderId="12" xfId="0" applyFont="1" applyFill="1" applyBorder="1" applyAlignment="1">
      <alignment horizontal="right"/>
    </xf>
    <xf numFmtId="164" fontId="2" fillId="0" borderId="12" xfId="0" applyNumberFormat="1" applyFont="1" applyFill="1" applyBorder="1" applyAlignment="1">
      <alignment horizontal="center"/>
    </xf>
    <xf numFmtId="0" fontId="0" fillId="0" borderId="12" xfId="0" applyFill="1" applyBorder="1" applyAlignment="1">
      <alignment horizontal="center"/>
    </xf>
    <xf numFmtId="0" fontId="0" fillId="0" borderId="12" xfId="0" applyFill="1" applyBorder="1" applyAlignment="1">
      <alignment horizontal="right"/>
    </xf>
    <xf numFmtId="0" fontId="5" fillId="0" borderId="0" xfId="61" applyFont="1" applyFill="1" applyAlignment="1">
      <alignment horizontal="left"/>
    </xf>
    <xf numFmtId="0" fontId="5" fillId="0" borderId="20" xfId="61" applyFont="1" applyBorder="1"/>
    <xf numFmtId="0" fontId="5" fillId="0" borderId="0" xfId="61" applyFont="1" applyAlignment="1">
      <alignment wrapText="1"/>
    </xf>
    <xf numFmtId="0" fontId="16" fillId="0" borderId="0" xfId="0" applyFont="1"/>
    <xf numFmtId="164" fontId="5" fillId="24" borderId="12" xfId="61" applyNumberFormat="1" applyFont="1" applyFill="1" applyBorder="1" applyAlignment="1">
      <alignment horizontal="center"/>
    </xf>
    <xf numFmtId="0" fontId="5" fillId="0" borderId="0" xfId="0" applyFont="1" applyFill="1" applyBorder="1" applyAlignment="1">
      <alignment horizontal="center"/>
    </xf>
    <xf numFmtId="164" fontId="5" fillId="0" borderId="0" xfId="61" applyNumberFormat="1" applyFont="1" applyAlignment="1">
      <alignment horizontal="center" wrapText="1"/>
    </xf>
    <xf numFmtId="164" fontId="5" fillId="0" borderId="12" xfId="61" applyNumberFormat="1" applyFont="1" applyFill="1" applyBorder="1" applyAlignment="1">
      <alignment horizontal="center"/>
    </xf>
    <xf numFmtId="0" fontId="7" fillId="0" borderId="12" xfId="62" applyFont="1" applyBorder="1" applyAlignment="1">
      <alignment vertical="center" wrapText="1"/>
    </xf>
    <xf numFmtId="0" fontId="7" fillId="0" borderId="12" xfId="62" applyFont="1" applyBorder="1" applyAlignment="1">
      <alignment horizontal="center" vertical="center" wrapText="1"/>
    </xf>
    <xf numFmtId="0" fontId="7" fillId="25" borderId="12" xfId="62" applyFont="1" applyFill="1" applyBorder="1" applyAlignment="1">
      <alignment horizontal="center" vertical="center" wrapText="1" shrinkToFit="1"/>
    </xf>
    <xf numFmtId="49" fontId="7" fillId="26" borderId="12" xfId="62" applyNumberFormat="1" applyFont="1" applyFill="1" applyBorder="1" applyAlignment="1">
      <alignment horizontal="center" vertical="center" wrapText="1" shrinkToFit="1"/>
    </xf>
    <xf numFmtId="0" fontId="7" fillId="27" borderId="12" xfId="62" applyFont="1" applyFill="1" applyBorder="1" applyAlignment="1">
      <alignment horizontal="center" vertical="center" wrapText="1" shrinkToFit="1"/>
    </xf>
    <xf numFmtId="0" fontId="39" fillId="26" borderId="12" xfId="60" applyFont="1" applyFill="1" applyBorder="1" applyAlignment="1">
      <alignment horizontal="center" vertical="center" wrapText="1"/>
    </xf>
    <xf numFmtId="9" fontId="39" fillId="27" borderId="12" xfId="60" applyNumberFormat="1" applyFont="1" applyFill="1" applyBorder="1" applyAlignment="1">
      <alignment horizontal="center" vertical="center" wrapText="1"/>
    </xf>
    <xf numFmtId="0" fontId="5" fillId="0" borderId="12" xfId="62" applyFont="1" applyFill="1" applyBorder="1" applyAlignment="1">
      <alignment wrapText="1"/>
    </xf>
    <xf numFmtId="0" fontId="5" fillId="0" borderId="12" xfId="62" applyFont="1" applyFill="1" applyBorder="1" applyAlignment="1">
      <alignment vertical="center" wrapText="1"/>
    </xf>
    <xf numFmtId="0" fontId="5" fillId="0" borderId="12" xfId="62" applyFont="1" applyFill="1" applyBorder="1" applyAlignment="1">
      <alignment horizontal="center" wrapText="1"/>
    </xf>
    <xf numFmtId="1" fontId="5" fillId="25" borderId="12" xfId="62" applyNumberFormat="1" applyFont="1" applyFill="1" applyBorder="1" applyAlignment="1">
      <alignment horizontal="center" wrapText="1"/>
    </xf>
    <xf numFmtId="1" fontId="5" fillId="26" borderId="12" xfId="62" applyNumberFormat="1" applyFont="1" applyFill="1" applyBorder="1" applyAlignment="1">
      <alignment horizontal="center" wrapText="1"/>
    </xf>
    <xf numFmtId="167" fontId="5" fillId="27" borderId="12" xfId="62" applyNumberFormat="1" applyFont="1" applyFill="1" applyBorder="1" applyAlignment="1">
      <alignment horizontal="center" wrapText="1"/>
    </xf>
    <xf numFmtId="0" fontId="5" fillId="26" borderId="12" xfId="62" applyNumberFormat="1" applyFont="1" applyFill="1" applyBorder="1" applyAlignment="1">
      <alignment horizontal="center" wrapText="1"/>
    </xf>
    <xf numFmtId="1" fontId="40" fillId="26" borderId="12" xfId="60" applyNumberFormat="1" applyFont="1" applyFill="1" applyBorder="1" applyAlignment="1">
      <alignment horizontal="center" wrapText="1"/>
    </xf>
    <xf numFmtId="167" fontId="40" fillId="27" borderId="12" xfId="60" applyNumberFormat="1" applyFont="1" applyFill="1" applyBorder="1" applyAlignment="1">
      <alignment horizontal="center" wrapText="1"/>
    </xf>
    <xf numFmtId="0" fontId="5" fillId="26" borderId="12" xfId="62" applyNumberFormat="1" applyFont="1" applyFill="1" applyBorder="1" applyAlignment="1">
      <alignment horizontal="center" vertical="center" wrapText="1"/>
    </xf>
    <xf numFmtId="1" fontId="5" fillId="26" borderId="12" xfId="60" applyNumberFormat="1" applyFont="1" applyFill="1" applyBorder="1" applyAlignment="1">
      <alignment horizontal="center" wrapText="1"/>
    </xf>
    <xf numFmtId="49" fontId="5" fillId="26" borderId="12" xfId="62" applyNumberFormat="1" applyFont="1" applyFill="1" applyBorder="1" applyAlignment="1">
      <alignment horizontal="center" wrapText="1"/>
    </xf>
    <xf numFmtId="0" fontId="5" fillId="28" borderId="12" xfId="62" applyFont="1" applyFill="1" applyBorder="1" applyAlignment="1">
      <alignment wrapText="1"/>
    </xf>
    <xf numFmtId="1" fontId="7" fillId="25" borderId="12" xfId="62" applyNumberFormat="1" applyFont="1" applyFill="1" applyBorder="1" applyAlignment="1">
      <alignment horizontal="center" wrapText="1"/>
    </xf>
    <xf numFmtId="1" fontId="7" fillId="26" borderId="12" xfId="62" applyNumberFormat="1" applyFont="1" applyFill="1" applyBorder="1" applyAlignment="1">
      <alignment horizontal="center" wrapText="1"/>
    </xf>
    <xf numFmtId="1" fontId="5" fillId="27" borderId="12" xfId="62" applyNumberFormat="1" applyFont="1" applyFill="1" applyBorder="1" applyAlignment="1">
      <alignment horizontal="center" wrapText="1"/>
    </xf>
    <xf numFmtId="165" fontId="5" fillId="27" borderId="12" xfId="62" applyNumberFormat="1" applyFont="1" applyFill="1" applyBorder="1" applyAlignment="1">
      <alignment horizontal="center" wrapText="1"/>
    </xf>
    <xf numFmtId="1" fontId="39" fillId="26" borderId="12" xfId="60" applyNumberFormat="1" applyFont="1" applyFill="1" applyBorder="1" applyAlignment="1">
      <alignment horizontal="center" wrapText="1"/>
    </xf>
    <xf numFmtId="9" fontId="40" fillId="27" borderId="12" xfId="60" applyNumberFormat="1" applyFont="1" applyFill="1" applyBorder="1" applyAlignment="1">
      <alignment horizontal="center" wrapText="1"/>
    </xf>
    <xf numFmtId="0" fontId="5" fillId="25" borderId="12" xfId="62" applyFont="1" applyFill="1" applyBorder="1" applyAlignment="1">
      <alignment horizontal="center" wrapText="1"/>
    </xf>
    <xf numFmtId="167" fontId="5" fillId="26" borderId="12" xfId="62" applyNumberFormat="1" applyFont="1" applyFill="1" applyBorder="1" applyAlignment="1">
      <alignment horizontal="center" wrapText="1"/>
    </xf>
    <xf numFmtId="167" fontId="40" fillId="26" borderId="12" xfId="60" applyNumberFormat="1" applyFont="1" applyFill="1" applyBorder="1" applyAlignment="1">
      <alignment horizontal="center" wrapText="1"/>
    </xf>
    <xf numFmtId="164" fontId="5" fillId="0" borderId="0" xfId="61" applyNumberFormat="1" applyFont="1" applyAlignment="1">
      <alignment wrapText="1"/>
    </xf>
    <xf numFmtId="164" fontId="5" fillId="0" borderId="0" xfId="61" applyNumberFormat="1" applyFont="1"/>
    <xf numFmtId="164" fontId="5" fillId="0" borderId="0" xfId="61" applyNumberFormat="1" applyFont="1" applyBorder="1" applyAlignment="1">
      <alignment wrapText="1"/>
    </xf>
    <xf numFmtId="164" fontId="5" fillId="0" borderId="0" xfId="0" applyNumberFormat="1" applyFont="1" applyBorder="1" applyAlignment="1">
      <alignment horizontal="left"/>
    </xf>
    <xf numFmtId="9" fontId="5" fillId="0" borderId="12" xfId="61" applyNumberFormat="1" applyFont="1" applyBorder="1" applyAlignment="1">
      <alignment horizontal="center"/>
    </xf>
    <xf numFmtId="0" fontId="5" fillId="0" borderId="12" xfId="61" applyFont="1" applyFill="1" applyBorder="1" applyAlignment="1">
      <alignment horizontal="left"/>
    </xf>
    <xf numFmtId="164" fontId="16" fillId="0" borderId="0" xfId="61" applyNumberFormat="1" applyFont="1" applyBorder="1" applyAlignment="1">
      <alignment horizontal="left"/>
    </xf>
    <xf numFmtId="164" fontId="5" fillId="0" borderId="0" xfId="61" applyNumberFormat="1" applyFont="1" applyBorder="1"/>
    <xf numFmtId="164" fontId="5" fillId="0" borderId="12" xfId="61" applyNumberFormat="1" applyFont="1" applyBorder="1"/>
    <xf numFmtId="0" fontId="16" fillId="0" borderId="0" xfId="61" applyFont="1" applyAlignment="1">
      <alignment wrapText="1"/>
    </xf>
    <xf numFmtId="164" fontId="5" fillId="0" borderId="30" xfId="61" applyNumberFormat="1" applyFont="1" applyFill="1" applyBorder="1" applyAlignment="1">
      <alignment horizontal="center"/>
    </xf>
    <xf numFmtId="164" fontId="0" fillId="0" borderId="12" xfId="0" applyNumberFormat="1" applyFill="1" applyBorder="1" applyAlignment="1">
      <alignment horizontal="center"/>
    </xf>
    <xf numFmtId="3" fontId="5" fillId="0" borderId="12" xfId="61" applyNumberFormat="1" applyFont="1" applyBorder="1" applyAlignment="1">
      <alignment horizontal="center"/>
    </xf>
    <xf numFmtId="164" fontId="5" fillId="0" borderId="3" xfId="61" applyNumberFormat="1" applyFont="1" applyBorder="1" applyAlignment="1">
      <alignment horizontal="center" wrapText="1"/>
    </xf>
    <xf numFmtId="2" fontId="0" fillId="0" borderId="0" xfId="0" applyNumberFormat="1" applyFill="1" applyAlignment="1">
      <alignment horizontal="center"/>
    </xf>
    <xf numFmtId="0" fontId="5" fillId="0" borderId="12" xfId="0" applyFont="1" applyFill="1" applyBorder="1" applyAlignment="1">
      <alignment horizontal="center"/>
    </xf>
    <xf numFmtId="0" fontId="5" fillId="0" borderId="12" xfId="0" applyFont="1" applyFill="1" applyBorder="1" applyAlignment="1">
      <alignment horizontal="center" wrapText="1"/>
    </xf>
    <xf numFmtId="0" fontId="5" fillId="0" borderId="0" xfId="61" applyFont="1" applyFill="1" applyAlignment="1">
      <alignment horizontal="center" wrapText="1"/>
    </xf>
    <xf numFmtId="5" fontId="5" fillId="0" borderId="0" xfId="61" applyNumberFormat="1" applyFont="1" applyAlignment="1">
      <alignment horizontal="center"/>
    </xf>
    <xf numFmtId="0" fontId="18" fillId="0" borderId="0" xfId="61" applyFont="1" applyBorder="1"/>
    <xf numFmtId="0" fontId="48" fillId="0" borderId="0" xfId="61" applyFont="1" applyAlignment="1"/>
    <xf numFmtId="164" fontId="5" fillId="0" borderId="12" xfId="61" applyNumberFormat="1" applyFont="1" applyBorder="1" applyAlignment="1">
      <alignment horizontal="center" wrapText="1"/>
    </xf>
    <xf numFmtId="0" fontId="16" fillId="0" borderId="0" xfId="61" applyFont="1"/>
    <xf numFmtId="0" fontId="49" fillId="0" borderId="0" xfId="0" applyFont="1" applyAlignment="1" applyProtection="1">
      <alignment horizontal="left" vertical="top"/>
      <protection hidden="1"/>
    </xf>
    <xf numFmtId="0" fontId="49" fillId="0" borderId="33" xfId="0" applyFont="1" applyBorder="1" applyAlignment="1" applyProtection="1">
      <alignment horizontal="right" vertical="top"/>
      <protection hidden="1"/>
    </xf>
    <xf numFmtId="0" fontId="49" fillId="0" borderId="0" xfId="0" applyFont="1" applyAlignment="1" applyProtection="1">
      <alignment horizontal="right" vertical="top"/>
      <protection hidden="1"/>
    </xf>
    <xf numFmtId="0" fontId="49" fillId="0" borderId="34" xfId="0" applyFont="1" applyBorder="1" applyAlignment="1" applyProtection="1">
      <alignment horizontal="right" vertical="top"/>
      <protection hidden="1"/>
    </xf>
    <xf numFmtId="0" fontId="49" fillId="0" borderId="15" xfId="0" applyFont="1" applyBorder="1" applyAlignment="1" applyProtection="1">
      <alignment horizontal="right" vertical="top"/>
      <protection hidden="1"/>
    </xf>
    <xf numFmtId="0" fontId="0" fillId="0" borderId="0" xfId="0" applyProtection="1">
      <protection hidden="1"/>
    </xf>
    <xf numFmtId="0" fontId="49" fillId="0" borderId="0" xfId="0" quotePrefix="1" applyFont="1" applyAlignment="1" applyProtection="1">
      <alignment horizontal="left" vertical="top"/>
      <protection hidden="1"/>
    </xf>
    <xf numFmtId="0" fontId="49" fillId="0" borderId="33" xfId="0" quotePrefix="1" applyFont="1" applyBorder="1" applyAlignment="1" applyProtection="1">
      <alignment horizontal="right" vertical="top"/>
      <protection hidden="1"/>
    </xf>
    <xf numFmtId="0" fontId="49" fillId="0" borderId="0" xfId="0" quotePrefix="1" applyFont="1" applyAlignment="1" applyProtection="1">
      <alignment horizontal="right" vertical="top"/>
      <protection hidden="1"/>
    </xf>
    <xf numFmtId="0" fontId="49" fillId="0" borderId="15" xfId="0" quotePrefix="1" applyFont="1" applyBorder="1" applyAlignment="1" applyProtection="1">
      <alignment horizontal="right" vertical="top"/>
      <protection hidden="1"/>
    </xf>
    <xf numFmtId="0" fontId="50" fillId="0" borderId="0" xfId="0" applyFont="1" applyAlignment="1" applyProtection="1">
      <alignment vertical="top"/>
      <protection hidden="1"/>
    </xf>
    <xf numFmtId="3" fontId="50" fillId="0" borderId="33" xfId="0" applyNumberFormat="1" applyFont="1" applyBorder="1" applyAlignment="1" applyProtection="1">
      <alignment horizontal="right" vertical="top"/>
      <protection hidden="1"/>
    </xf>
    <xf numFmtId="3" fontId="50" fillId="0" borderId="0" xfId="0" applyNumberFormat="1" applyFont="1" applyAlignment="1" applyProtection="1">
      <alignment horizontal="right" vertical="top"/>
      <protection hidden="1"/>
    </xf>
    <xf numFmtId="3" fontId="50" fillId="0" borderId="34" xfId="0" applyNumberFormat="1" applyFont="1" applyBorder="1" applyAlignment="1" applyProtection="1">
      <alignment horizontal="right" vertical="top"/>
      <protection hidden="1"/>
    </xf>
    <xf numFmtId="3" fontId="50" fillId="0" borderId="15" xfId="0" applyNumberFormat="1" applyFont="1" applyBorder="1" applyAlignment="1" applyProtection="1">
      <alignment horizontal="right" vertical="top"/>
      <protection hidden="1"/>
    </xf>
    <xf numFmtId="3" fontId="50" fillId="0" borderId="33" xfId="0" applyNumberFormat="1" applyFont="1" applyBorder="1" applyAlignment="1" applyProtection="1">
      <alignment horizontal="right" vertical="center"/>
      <protection hidden="1"/>
    </xf>
    <xf numFmtId="3" fontId="50" fillId="0" borderId="0" xfId="0" applyNumberFormat="1" applyFont="1" applyAlignment="1" applyProtection="1">
      <alignment horizontal="right" vertical="center"/>
      <protection hidden="1"/>
    </xf>
    <xf numFmtId="3" fontId="50" fillId="0" borderId="34" xfId="0" applyNumberFormat="1" applyFont="1" applyBorder="1" applyAlignment="1" applyProtection="1">
      <alignment horizontal="right" vertical="center"/>
      <protection hidden="1"/>
    </xf>
    <xf numFmtId="3" fontId="50" fillId="0" borderId="15" xfId="0" applyNumberFormat="1" applyFont="1" applyBorder="1" applyAlignment="1" applyProtection="1">
      <alignment horizontal="right" vertical="center"/>
      <protection hidden="1"/>
    </xf>
    <xf numFmtId="0" fontId="0" fillId="0" borderId="35" xfId="0" applyBorder="1" applyAlignment="1"/>
    <xf numFmtId="164" fontId="7" fillId="0" borderId="12" xfId="61" applyNumberFormat="1" applyFont="1" applyBorder="1" applyAlignment="1">
      <alignment horizontal="center"/>
    </xf>
    <xf numFmtId="0" fontId="5" fillId="0" borderId="12" xfId="61" applyFont="1" applyFill="1" applyBorder="1" applyAlignment="1">
      <alignment horizontal="center" wrapText="1"/>
    </xf>
    <xf numFmtId="0" fontId="5" fillId="0" borderId="0" xfId="61" applyFont="1" applyFill="1" applyAlignment="1">
      <alignment wrapText="1"/>
    </xf>
    <xf numFmtId="164" fontId="18" fillId="0" borderId="12" xfId="61" applyNumberFormat="1" applyFont="1" applyFill="1" applyBorder="1" applyAlignment="1">
      <alignment horizontal="center"/>
    </xf>
    <xf numFmtId="0" fontId="18" fillId="0" borderId="0" xfId="61" applyFont="1" applyFill="1"/>
    <xf numFmtId="0" fontId="18" fillId="0" borderId="0" xfId="61" applyFont="1"/>
    <xf numFmtId="164" fontId="18" fillId="0" borderId="0" xfId="61" applyNumberFormat="1" applyFont="1" applyFill="1" applyAlignment="1">
      <alignment horizontal="center"/>
    </xf>
    <xf numFmtId="164" fontId="18" fillId="0" borderId="0" xfId="61" applyNumberFormat="1" applyFont="1" applyAlignment="1">
      <alignment horizontal="center"/>
    </xf>
    <xf numFmtId="0" fontId="18" fillId="0" borderId="0" xfId="61" applyFont="1" applyAlignment="1">
      <alignment horizontal="center"/>
    </xf>
    <xf numFmtId="164" fontId="18" fillId="0" borderId="0" xfId="61" applyNumberFormat="1" applyFont="1" applyAlignment="1">
      <alignment wrapText="1"/>
    </xf>
    <xf numFmtId="0" fontId="18" fillId="0" borderId="0" xfId="61" applyFont="1" applyAlignment="1">
      <alignment horizontal="left"/>
    </xf>
    <xf numFmtId="0" fontId="16" fillId="0" borderId="0" xfId="61" applyFont="1" applyAlignment="1">
      <alignment horizontal="center"/>
    </xf>
    <xf numFmtId="3" fontId="5" fillId="0" borderId="0" xfId="61" applyNumberFormat="1" applyFont="1" applyBorder="1" applyAlignment="1">
      <alignment horizontal="center" wrapText="1"/>
    </xf>
    <xf numFmtId="3" fontId="18" fillId="0" borderId="0" xfId="61" applyNumberFormat="1" applyFont="1" applyBorder="1" applyAlignment="1">
      <alignment horizontal="center" wrapText="1"/>
    </xf>
    <xf numFmtId="3" fontId="5" fillId="0" borderId="0" xfId="61" applyNumberFormat="1" applyFont="1" applyAlignment="1">
      <alignment horizontal="center"/>
    </xf>
    <xf numFmtId="3" fontId="5" fillId="0" borderId="30" xfId="61" applyNumberFormat="1" applyFont="1" applyFill="1" applyBorder="1" applyAlignment="1">
      <alignment horizontal="center"/>
    </xf>
    <xf numFmtId="166" fontId="5" fillId="0" borderId="0" xfId="61" applyNumberFormat="1" applyFont="1" applyAlignment="1">
      <alignment horizontal="center"/>
    </xf>
    <xf numFmtId="164" fontId="5" fillId="0" borderId="36" xfId="61" applyNumberFormat="1" applyFont="1" applyBorder="1" applyAlignment="1">
      <alignment horizontal="center"/>
    </xf>
    <xf numFmtId="1" fontId="5" fillId="0" borderId="0" xfId="61" applyNumberFormat="1" applyFont="1" applyAlignment="1">
      <alignment horizontal="center"/>
    </xf>
    <xf numFmtId="1" fontId="5" fillId="0" borderId="0" xfId="0" applyNumberFormat="1" applyFont="1" applyFill="1" applyBorder="1" applyAlignment="1">
      <alignment horizontal="center"/>
    </xf>
    <xf numFmtId="0" fontId="16" fillId="0" borderId="0" xfId="61" applyFont="1" applyFill="1"/>
    <xf numFmtId="0" fontId="21" fillId="0" borderId="0" xfId="0" applyFont="1" applyFill="1" applyBorder="1" applyAlignment="1">
      <alignment horizontal="left"/>
    </xf>
    <xf numFmtId="3" fontId="5" fillId="0" borderId="0" xfId="0" applyNumberFormat="1" applyFont="1" applyFill="1" applyBorder="1" applyAlignment="1">
      <alignment horizontal="center"/>
    </xf>
    <xf numFmtId="0" fontId="7" fillId="0" borderId="0" xfId="61" applyFont="1" applyFill="1" applyAlignment="1">
      <alignment horizontal="center" wrapText="1"/>
    </xf>
    <xf numFmtId="164" fontId="7" fillId="0" borderId="0" xfId="0" applyNumberFormat="1" applyFont="1" applyFill="1" applyBorder="1" applyAlignment="1">
      <alignment horizontal="center"/>
    </xf>
    <xf numFmtId="0" fontId="7" fillId="0" borderId="0" xfId="61" applyFont="1" applyFill="1" applyAlignment="1">
      <alignment horizontal="center"/>
    </xf>
    <xf numFmtId="0" fontId="8" fillId="0" borderId="0" xfId="61" applyFont="1" applyFill="1" applyAlignment="1">
      <alignment horizontal="center"/>
    </xf>
    <xf numFmtId="164" fontId="7" fillId="0" borderId="0" xfId="61" applyNumberFormat="1" applyFont="1" applyFill="1" applyAlignment="1">
      <alignment horizontal="center"/>
    </xf>
    <xf numFmtId="0" fontId="7" fillId="0" borderId="0" xfId="61" applyFont="1" applyFill="1" applyBorder="1" applyAlignment="1">
      <alignment horizontal="center"/>
    </xf>
    <xf numFmtId="0" fontId="51" fillId="0" borderId="0" xfId="0" applyFont="1" applyFill="1" applyBorder="1" applyAlignment="1">
      <alignment horizontal="center"/>
    </xf>
    <xf numFmtId="0" fontId="5" fillId="29" borderId="12" xfId="61" applyFont="1" applyFill="1" applyBorder="1"/>
    <xf numFmtId="0" fontId="5" fillId="29" borderId="12" xfId="61" applyFont="1" applyFill="1" applyBorder="1" applyAlignment="1">
      <alignment horizontal="center"/>
    </xf>
    <xf numFmtId="164" fontId="5" fillId="29" borderId="12" xfId="61" applyNumberFormat="1" applyFont="1" applyFill="1" applyBorder="1" applyAlignment="1">
      <alignment horizontal="center"/>
    </xf>
    <xf numFmtId="3" fontId="5" fillId="29" borderId="12" xfId="61" applyNumberFormat="1" applyFont="1" applyFill="1" applyBorder="1" applyAlignment="1">
      <alignment horizontal="center"/>
    </xf>
    <xf numFmtId="0" fontId="4" fillId="0" borderId="0" xfId="61" applyFont="1" applyAlignment="1">
      <alignment horizontal="left"/>
    </xf>
    <xf numFmtId="164" fontId="5" fillId="30" borderId="36" xfId="61" applyNumberFormat="1" applyFont="1" applyFill="1" applyBorder="1" applyAlignment="1">
      <alignment horizontal="center" wrapText="1"/>
    </xf>
    <xf numFmtId="164" fontId="5" fillId="31" borderId="36" xfId="61" applyNumberFormat="1" applyFont="1" applyFill="1" applyBorder="1" applyAlignment="1">
      <alignment horizontal="center" wrapText="1"/>
    </xf>
    <xf numFmtId="164" fontId="5" fillId="29" borderId="36" xfId="61" applyNumberFormat="1" applyFont="1" applyFill="1" applyBorder="1" applyAlignment="1">
      <alignment horizontal="center" wrapText="1"/>
    </xf>
    <xf numFmtId="0" fontId="5" fillId="32" borderId="36" xfId="61" applyFont="1" applyFill="1" applyBorder="1" applyAlignment="1">
      <alignment horizontal="center" wrapText="1"/>
    </xf>
    <xf numFmtId="164" fontId="5" fillId="32" borderId="36" xfId="61" applyNumberFormat="1" applyFont="1" applyFill="1" applyBorder="1" applyAlignment="1">
      <alignment horizontal="center" wrapText="1"/>
    </xf>
    <xf numFmtId="0" fontId="7" fillId="0" borderId="37" xfId="61" applyFont="1" applyBorder="1" applyAlignment="1">
      <alignment horizontal="center"/>
    </xf>
    <xf numFmtId="6" fontId="7" fillId="0" borderId="37" xfId="61" applyNumberFormat="1" applyFont="1" applyBorder="1" applyAlignment="1">
      <alignment horizontal="center"/>
    </xf>
    <xf numFmtId="1" fontId="5" fillId="0" borderId="12" xfId="61" applyNumberFormat="1" applyFont="1" applyBorder="1" applyAlignment="1">
      <alignment horizontal="center"/>
    </xf>
    <xf numFmtId="0" fontId="5" fillId="33" borderId="38" xfId="61" applyFont="1" applyFill="1" applyBorder="1" applyAlignment="1">
      <alignment horizontal="center" wrapText="1"/>
    </xf>
    <xf numFmtId="3" fontId="5" fillId="0" borderId="36" xfId="61" applyNumberFormat="1" applyFont="1" applyBorder="1" applyAlignment="1">
      <alignment horizontal="center"/>
    </xf>
    <xf numFmtId="164" fontId="7" fillId="0" borderId="36" xfId="61" applyNumberFormat="1" applyFont="1" applyBorder="1" applyAlignment="1">
      <alignment horizontal="center"/>
    </xf>
    <xf numFmtId="0" fontId="5" fillId="34" borderId="39" xfId="61" applyFont="1" applyFill="1" applyBorder="1" applyAlignment="1">
      <alignment horizontal="center" wrapText="1"/>
    </xf>
    <xf numFmtId="164" fontId="5" fillId="34" borderId="40" xfId="61" applyNumberFormat="1" applyFont="1" applyFill="1" applyBorder="1" applyAlignment="1">
      <alignment horizontal="center" wrapText="1"/>
    </xf>
    <xf numFmtId="0" fontId="5" fillId="34" borderId="40" xfId="61" applyFont="1" applyFill="1" applyBorder="1" applyAlignment="1">
      <alignment horizontal="center" wrapText="1"/>
    </xf>
    <xf numFmtId="164" fontId="7" fillId="34" borderId="41" xfId="61" applyNumberFormat="1" applyFont="1" applyFill="1" applyBorder="1" applyAlignment="1">
      <alignment horizontal="center" wrapText="1"/>
    </xf>
    <xf numFmtId="0" fontId="5" fillId="0" borderId="0" xfId="61" applyFont="1" applyAlignment="1">
      <alignment textRotation="180" wrapText="1"/>
    </xf>
    <xf numFmtId="0" fontId="53" fillId="0" borderId="0" xfId="59" applyFont="1" applyProtection="1">
      <protection hidden="1"/>
    </xf>
    <xf numFmtId="0" fontId="7" fillId="0" borderId="0" xfId="59" applyFont="1" applyProtection="1">
      <protection hidden="1"/>
    </xf>
    <xf numFmtId="0" fontId="5" fillId="0" borderId="0" xfId="59" applyFont="1" applyProtection="1">
      <protection hidden="1"/>
    </xf>
    <xf numFmtId="0" fontId="5" fillId="0" borderId="0" xfId="59" applyFont="1" applyBorder="1" applyProtection="1">
      <protection hidden="1"/>
    </xf>
    <xf numFmtId="0" fontId="5" fillId="0" borderId="0" xfId="59" applyFont="1" applyBorder="1" applyAlignment="1" applyProtection="1">
      <alignment horizontal="center"/>
      <protection hidden="1"/>
    </xf>
    <xf numFmtId="0" fontId="54" fillId="0" borderId="0" xfId="59" applyFont="1" applyProtection="1">
      <protection hidden="1"/>
    </xf>
    <xf numFmtId="0" fontId="54" fillId="0" borderId="0" xfId="59" applyFont="1" applyBorder="1" applyProtection="1">
      <protection hidden="1"/>
    </xf>
    <xf numFmtId="0" fontId="7" fillId="0" borderId="0" xfId="59" applyFont="1" applyBorder="1" applyProtection="1">
      <protection hidden="1"/>
    </xf>
    <xf numFmtId="3" fontId="5" fillId="0" borderId="0" xfId="59" applyNumberFormat="1" applyFont="1" applyBorder="1" applyProtection="1">
      <protection hidden="1"/>
    </xf>
    <xf numFmtId="0" fontId="5" fillId="0" borderId="0" xfId="59" applyFont="1" applyAlignment="1" applyProtection="1">
      <alignment horizontal="center"/>
      <protection hidden="1"/>
    </xf>
    <xf numFmtId="6" fontId="5" fillId="0" borderId="0" xfId="59" applyNumberFormat="1" applyFont="1" applyAlignment="1" applyProtection="1">
      <alignment horizontal="center"/>
      <protection hidden="1"/>
    </xf>
    <xf numFmtId="0" fontId="7" fillId="0" borderId="0" xfId="59" applyFont="1" applyFill="1" applyAlignment="1" applyProtection="1">
      <alignment horizontal="center"/>
      <protection hidden="1"/>
    </xf>
    <xf numFmtId="3" fontId="5" fillId="0" borderId="0" xfId="59" applyNumberFormat="1" applyFont="1" applyAlignment="1" applyProtection="1">
      <alignment horizontal="center"/>
      <protection hidden="1"/>
    </xf>
    <xf numFmtId="0" fontId="7" fillId="0" borderId="0" xfId="59" applyFont="1" applyAlignment="1" applyProtection="1">
      <alignment horizontal="center"/>
      <protection hidden="1"/>
    </xf>
    <xf numFmtId="0" fontId="7" fillId="0" borderId="0" xfId="61" applyFont="1" applyBorder="1" applyAlignment="1">
      <alignment horizontal="center"/>
    </xf>
    <xf numFmtId="0" fontId="5" fillId="0" borderId="12" xfId="61" applyFont="1" applyBorder="1" applyAlignment="1">
      <alignment wrapText="1"/>
    </xf>
    <xf numFmtId="0" fontId="5" fillId="0" borderId="12" xfId="61" applyFont="1" applyBorder="1" applyAlignment="1">
      <alignment horizontal="left" wrapText="1"/>
    </xf>
    <xf numFmtId="0" fontId="5" fillId="0" borderId="12" xfId="61" applyFont="1" applyBorder="1" applyAlignment="1">
      <alignment horizontal="left"/>
    </xf>
    <xf numFmtId="164" fontId="5" fillId="0" borderId="0" xfId="59" applyNumberFormat="1" applyFont="1" applyBorder="1" applyAlignment="1" applyProtection="1">
      <alignment horizontal="center"/>
      <protection hidden="1"/>
    </xf>
    <xf numFmtId="164" fontId="5" fillId="0" borderId="3" xfId="59" applyNumberFormat="1" applyFont="1" applyBorder="1" applyAlignment="1" applyProtection="1">
      <alignment horizontal="center"/>
      <protection hidden="1"/>
    </xf>
    <xf numFmtId="0" fontId="55" fillId="0" borderId="0" xfId="59" applyFont="1" applyBorder="1" applyAlignment="1" applyProtection="1">
      <alignment horizontal="center"/>
      <protection hidden="1"/>
    </xf>
    <xf numFmtId="170" fontId="56" fillId="0" borderId="0" xfId="0" applyNumberFormat="1" applyFont="1" applyAlignment="1" applyProtection="1">
      <alignment horizontal="center"/>
      <protection hidden="1"/>
    </xf>
    <xf numFmtId="164" fontId="7" fillId="0" borderId="0" xfId="59" applyNumberFormat="1" applyFont="1" applyBorder="1" applyAlignment="1" applyProtection="1">
      <alignment horizontal="center"/>
      <protection hidden="1"/>
    </xf>
    <xf numFmtId="164" fontId="5" fillId="0" borderId="0" xfId="59" applyNumberFormat="1" applyFont="1" applyAlignment="1" applyProtection="1">
      <alignment horizontal="center"/>
      <protection hidden="1"/>
    </xf>
    <xf numFmtId="0" fontId="8" fillId="0" borderId="0" xfId="58" applyFont="1"/>
    <xf numFmtId="0" fontId="5" fillId="0" borderId="0" xfId="58" applyFont="1"/>
    <xf numFmtId="0" fontId="5" fillId="0" borderId="0" xfId="58" applyFont="1" applyAlignment="1">
      <alignment horizontal="center"/>
    </xf>
    <xf numFmtId="0" fontId="57" fillId="0" borderId="0" xfId="58" applyFont="1"/>
    <xf numFmtId="0" fontId="58" fillId="0" borderId="0" xfId="58" applyFont="1"/>
    <xf numFmtId="0" fontId="5" fillId="0" borderId="12" xfId="58" applyFont="1" applyBorder="1" applyAlignment="1">
      <alignment horizontal="center"/>
    </xf>
    <xf numFmtId="0" fontId="7" fillId="0" borderId="12" xfId="58" applyFont="1" applyBorder="1" applyAlignment="1" applyProtection="1">
      <alignment horizontal="center" vertical="top" shrinkToFit="1"/>
      <protection hidden="1"/>
    </xf>
    <xf numFmtId="0" fontId="57" fillId="0" borderId="12" xfId="58" applyFont="1" applyBorder="1" applyAlignment="1">
      <alignment horizontal="center"/>
    </xf>
    <xf numFmtId="3" fontId="5" fillId="0" borderId="12" xfId="58" applyNumberFormat="1" applyFont="1" applyBorder="1" applyAlignment="1" applyProtection="1">
      <alignment horizontal="center" vertical="top"/>
      <protection hidden="1"/>
    </xf>
    <xf numFmtId="171" fontId="5" fillId="0" borderId="12" xfId="58" applyNumberFormat="1" applyFont="1" applyBorder="1" applyAlignment="1" applyProtection="1">
      <alignment horizontal="center" vertical="top"/>
      <protection hidden="1"/>
    </xf>
    <xf numFmtId="164" fontId="5" fillId="0" borderId="12" xfId="58" applyNumberFormat="1" applyFont="1" applyBorder="1" applyAlignment="1">
      <alignment horizontal="center"/>
    </xf>
    <xf numFmtId="171" fontId="5" fillId="34" borderId="12" xfId="58" applyNumberFormat="1" applyFont="1" applyFill="1" applyBorder="1" applyAlignment="1" applyProtection="1">
      <alignment horizontal="center" vertical="top"/>
      <protection hidden="1"/>
    </xf>
    <xf numFmtId="164" fontId="5" fillId="0" borderId="12" xfId="58" applyNumberFormat="1" applyFont="1" applyBorder="1" applyAlignment="1" applyProtection="1">
      <alignment horizontal="center" vertical="top"/>
      <protection hidden="1"/>
    </xf>
    <xf numFmtId="164" fontId="7" fillId="0" borderId="12" xfId="58" applyNumberFormat="1" applyFont="1" applyBorder="1" applyAlignment="1" applyProtection="1">
      <alignment horizontal="center" vertical="center"/>
      <protection hidden="1"/>
    </xf>
    <xf numFmtId="3" fontId="7" fillId="0" borderId="12" xfId="58" applyNumberFormat="1" applyFont="1" applyBorder="1" applyAlignment="1" applyProtection="1">
      <alignment horizontal="center" vertical="center"/>
      <protection hidden="1"/>
    </xf>
    <xf numFmtId="0" fontId="4" fillId="0" borderId="0" xfId="58" applyFont="1"/>
    <xf numFmtId="0" fontId="17" fillId="0" borderId="0" xfId="58" applyFont="1"/>
    <xf numFmtId="0" fontId="5" fillId="0" borderId="0" xfId="58" applyFont="1" applyAlignment="1">
      <alignment wrapText="1"/>
    </xf>
    <xf numFmtId="0" fontId="5" fillId="0" borderId="0" xfId="58" applyFont="1" applyAlignment="1">
      <alignment horizontal="center" wrapText="1"/>
    </xf>
    <xf numFmtId="0" fontId="5" fillId="0" borderId="0" xfId="58" applyFont="1" applyAlignment="1">
      <alignment horizontal="left"/>
    </xf>
    <xf numFmtId="0" fontId="5" fillId="0" borderId="0" xfId="58" applyFont="1" applyAlignment="1"/>
    <xf numFmtId="0" fontId="57" fillId="0" borderId="0" xfId="58" applyFont="1" applyAlignment="1"/>
    <xf numFmtId="0" fontId="17" fillId="0" borderId="0" xfId="58" applyFont="1" applyAlignment="1">
      <alignment horizontal="left"/>
    </xf>
    <xf numFmtId="164" fontId="59" fillId="0" borderId="12" xfId="58" applyNumberFormat="1" applyFont="1" applyBorder="1" applyAlignment="1">
      <alignment horizontal="center"/>
    </xf>
    <xf numFmtId="164" fontId="5" fillId="0" borderId="0" xfId="58" applyNumberFormat="1" applyFont="1"/>
    <xf numFmtId="0" fontId="5" fillId="0" borderId="12" xfId="58" applyFont="1" applyBorder="1"/>
    <xf numFmtId="164" fontId="7" fillId="0" borderId="12" xfId="58" applyNumberFormat="1" applyFont="1" applyBorder="1"/>
    <xf numFmtId="0" fontId="7" fillId="0" borderId="12" xfId="58" applyFont="1" applyBorder="1" applyAlignment="1">
      <alignment horizontal="center"/>
    </xf>
    <xf numFmtId="164" fontId="7" fillId="0" borderId="12" xfId="58" applyNumberFormat="1" applyFont="1" applyBorder="1" applyAlignment="1">
      <alignment horizontal="center"/>
    </xf>
    <xf numFmtId="164" fontId="5" fillId="0" borderId="0" xfId="59" applyNumberFormat="1" applyFont="1" applyProtection="1">
      <protection hidden="1"/>
    </xf>
    <xf numFmtId="0" fontId="7" fillId="0" borderId="0" xfId="59" applyFont="1" applyFill="1" applyAlignment="1" applyProtection="1">
      <alignment horizontal="left"/>
      <protection hidden="1"/>
    </xf>
    <xf numFmtId="0" fontId="40" fillId="0" borderId="0" xfId="60" applyNumberFormat="1" applyFont="1" applyFill="1" applyBorder="1" applyAlignment="1">
      <alignment horizontal="left"/>
    </xf>
    <xf numFmtId="0" fontId="40" fillId="0" borderId="0" xfId="60" applyFont="1" applyFill="1" applyBorder="1" applyAlignment="1">
      <alignment horizontal="left"/>
    </xf>
    <xf numFmtId="2" fontId="5" fillId="0" borderId="0" xfId="61" applyNumberFormat="1" applyFont="1" applyBorder="1" applyAlignment="1">
      <alignment horizontal="center"/>
    </xf>
    <xf numFmtId="0" fontId="0" fillId="0" borderId="0" xfId="0" applyBorder="1" applyAlignment="1">
      <alignment horizontal="left"/>
    </xf>
    <xf numFmtId="2" fontId="5" fillId="0" borderId="0" xfId="61" applyNumberFormat="1" applyFont="1" applyBorder="1"/>
    <xf numFmtId="164" fontId="5" fillId="31" borderId="12" xfId="61" applyNumberFormat="1" applyFont="1" applyFill="1" applyBorder="1" applyAlignment="1">
      <alignment horizontal="center"/>
    </xf>
    <xf numFmtId="0" fontId="5" fillId="0" borderId="23" xfId="59" applyFont="1" applyBorder="1" applyProtection="1">
      <protection hidden="1"/>
    </xf>
    <xf numFmtId="164" fontId="5" fillId="0" borderId="24" xfId="59" applyNumberFormat="1" applyFont="1" applyBorder="1" applyProtection="1">
      <protection hidden="1"/>
    </xf>
    <xf numFmtId="164" fontId="5" fillId="0" borderId="25" xfId="59" applyNumberFormat="1" applyFont="1" applyBorder="1" applyAlignment="1" applyProtection="1">
      <alignment horizontal="center"/>
      <protection hidden="1"/>
    </xf>
    <xf numFmtId="164" fontId="5" fillId="0" borderId="12" xfId="59" applyNumberFormat="1" applyFont="1" applyBorder="1" applyAlignment="1" applyProtection="1">
      <alignment horizontal="center"/>
      <protection hidden="1"/>
    </xf>
    <xf numFmtId="0" fontId="7" fillId="0" borderId="42" xfId="59" applyFont="1" applyBorder="1" applyProtection="1">
      <protection hidden="1"/>
    </xf>
    <xf numFmtId="164" fontId="5" fillId="0" borderId="43" xfId="59" applyNumberFormat="1" applyFont="1" applyBorder="1" applyAlignment="1" applyProtection="1">
      <alignment horizontal="center"/>
      <protection hidden="1"/>
    </xf>
    <xf numFmtId="164" fontId="7" fillId="0" borderId="44" xfId="59" applyNumberFormat="1" applyFont="1" applyBorder="1" applyAlignment="1" applyProtection="1">
      <alignment horizontal="center"/>
      <protection hidden="1"/>
    </xf>
    <xf numFmtId="164" fontId="5" fillId="0" borderId="45" xfId="59" applyNumberFormat="1" applyFont="1" applyBorder="1" applyAlignment="1" applyProtection="1">
      <alignment horizontal="left"/>
      <protection hidden="1"/>
    </xf>
    <xf numFmtId="164" fontId="5" fillId="0" borderId="47" xfId="59" applyNumberFormat="1" applyFont="1" applyBorder="1" applyAlignment="1" applyProtection="1">
      <alignment horizontal="left"/>
      <protection hidden="1"/>
    </xf>
    <xf numFmtId="164" fontId="5" fillId="0" borderId="48" xfId="59" applyNumberFormat="1" applyFont="1" applyBorder="1" applyAlignment="1" applyProtection="1">
      <alignment horizontal="center"/>
      <protection hidden="1"/>
    </xf>
    <xf numFmtId="1" fontId="5" fillId="0" borderId="12" xfId="61" applyNumberFormat="1" applyFont="1" applyBorder="1" applyAlignment="1">
      <alignment horizontal="left"/>
    </xf>
    <xf numFmtId="0" fontId="4" fillId="0" borderId="0" xfId="59" applyFont="1" applyProtection="1">
      <protection hidden="1"/>
    </xf>
    <xf numFmtId="1" fontId="5" fillId="0" borderId="12" xfId="61" applyNumberFormat="1" applyFont="1" applyBorder="1" applyAlignment="1">
      <alignment horizontal="right"/>
    </xf>
    <xf numFmtId="164" fontId="7" fillId="0" borderId="30" xfId="59" applyNumberFormat="1" applyFont="1" applyBorder="1" applyAlignment="1" applyProtection="1">
      <alignment horizontal="center"/>
      <protection hidden="1"/>
    </xf>
    <xf numFmtId="0" fontId="0" fillId="0" borderId="0" xfId="0" applyBorder="1" applyAlignment="1" applyProtection="1">
      <alignment horizontal="center"/>
      <protection hidden="1"/>
    </xf>
    <xf numFmtId="164" fontId="0" fillId="0" borderId="0" xfId="0" applyNumberFormat="1" applyFill="1" applyAlignment="1" applyProtection="1">
      <alignment horizontal="center"/>
      <protection hidden="1"/>
    </xf>
    <xf numFmtId="164" fontId="0" fillId="0" borderId="3" xfId="0" applyNumberFormat="1" applyBorder="1" applyAlignment="1" applyProtection="1">
      <alignment horizontal="center"/>
      <protection hidden="1"/>
    </xf>
    <xf numFmtId="164" fontId="0" fillId="0" borderId="0" xfId="0" applyNumberFormat="1" applyBorder="1" applyAlignment="1" applyProtection="1">
      <alignment horizontal="center"/>
      <protection hidden="1"/>
    </xf>
    <xf numFmtId="0" fontId="5" fillId="0" borderId="0" xfId="0" applyFont="1" applyProtection="1">
      <protection hidden="1"/>
    </xf>
    <xf numFmtId="0" fontId="8" fillId="0" borderId="26" xfId="0" applyFont="1" applyBorder="1" applyProtection="1">
      <protection hidden="1"/>
    </xf>
    <xf numFmtId="0" fontId="0" fillId="0" borderId="0" xfId="0" applyBorder="1" applyProtection="1">
      <protection hidden="1"/>
    </xf>
    <xf numFmtId="0" fontId="0" fillId="0" borderId="27" xfId="0" applyBorder="1" applyAlignment="1" applyProtection="1">
      <alignment horizontal="center"/>
      <protection hidden="1"/>
    </xf>
    <xf numFmtId="0" fontId="0" fillId="0" borderId="0" xfId="0" applyAlignment="1" applyProtection="1">
      <alignment horizontal="center"/>
      <protection hidden="1"/>
    </xf>
    <xf numFmtId="0" fontId="7" fillId="0" borderId="26" xfId="0" applyFont="1" applyBorder="1" applyProtection="1">
      <protection hidden="1"/>
    </xf>
    <xf numFmtId="0" fontId="7" fillId="0" borderId="0" xfId="0" applyFont="1" applyBorder="1" applyAlignment="1" applyProtection="1">
      <alignment horizontal="center"/>
      <protection hidden="1"/>
    </xf>
    <xf numFmtId="0" fontId="7" fillId="0" borderId="27" xfId="0" applyFont="1" applyBorder="1" applyAlignment="1" applyProtection="1">
      <alignment horizontal="center"/>
      <protection hidden="1"/>
    </xf>
    <xf numFmtId="0" fontId="0" fillId="0" borderId="26" xfId="0" applyBorder="1" applyProtection="1">
      <protection hidden="1"/>
    </xf>
    <xf numFmtId="0" fontId="0" fillId="0" borderId="27" xfId="0" applyBorder="1" applyAlignment="1" applyProtection="1">
      <alignment horizontal="right"/>
      <protection hidden="1"/>
    </xf>
    <xf numFmtId="0" fontId="0" fillId="24" borderId="45" xfId="0" applyFill="1" applyBorder="1" applyProtection="1">
      <protection hidden="1"/>
    </xf>
    <xf numFmtId="0" fontId="0" fillId="24" borderId="12" xfId="0" applyFill="1" applyBorder="1" applyAlignment="1" applyProtection="1">
      <alignment horizontal="center"/>
      <protection hidden="1"/>
    </xf>
    <xf numFmtId="0" fontId="0" fillId="0" borderId="12" xfId="0" applyBorder="1" applyProtection="1">
      <protection hidden="1"/>
    </xf>
    <xf numFmtId="164" fontId="0" fillId="0" borderId="46" xfId="0" applyNumberFormat="1" applyBorder="1" applyAlignment="1" applyProtection="1">
      <alignment horizontal="center"/>
      <protection hidden="1"/>
    </xf>
    <xf numFmtId="0" fontId="0" fillId="0" borderId="45" xfId="0" applyBorder="1" applyProtection="1">
      <protection hidden="1"/>
    </xf>
    <xf numFmtId="0" fontId="0" fillId="0" borderId="12" xfId="0" applyBorder="1" applyAlignment="1" applyProtection="1">
      <alignment horizontal="center"/>
      <protection hidden="1"/>
    </xf>
    <xf numFmtId="0" fontId="0" fillId="24" borderId="12" xfId="0" applyFill="1" applyBorder="1" applyAlignment="1" applyProtection="1">
      <alignment horizontal="center" wrapText="1"/>
      <protection hidden="1"/>
    </xf>
    <xf numFmtId="0" fontId="0" fillId="0" borderId="12" xfId="0" applyBorder="1" applyAlignment="1" applyProtection="1">
      <alignment horizontal="center" wrapText="1"/>
      <protection hidden="1"/>
    </xf>
    <xf numFmtId="0" fontId="7" fillId="24" borderId="54" xfId="0" applyFont="1" applyFill="1" applyBorder="1" applyAlignment="1" applyProtection="1">
      <alignment horizontal="left" wrapText="1"/>
      <protection hidden="1"/>
    </xf>
    <xf numFmtId="0" fontId="7" fillId="0" borderId="12" xfId="0" applyFont="1" applyBorder="1" applyAlignment="1" applyProtection="1">
      <alignment horizontal="center"/>
      <protection hidden="1"/>
    </xf>
    <xf numFmtId="164" fontId="5" fillId="26" borderId="0" xfId="61" applyNumberFormat="1" applyFont="1" applyFill="1" applyAlignment="1">
      <alignment horizontal="center"/>
    </xf>
    <xf numFmtId="0" fontId="5" fillId="0" borderId="0" xfId="58" applyFont="1" applyAlignment="1">
      <alignment horizontal="left" wrapText="1"/>
    </xf>
    <xf numFmtId="0" fontId="5" fillId="0" borderId="0" xfId="58" applyNumberFormat="1" applyFont="1" applyAlignment="1">
      <alignment horizontal="left" wrapText="1"/>
    </xf>
    <xf numFmtId="0" fontId="5" fillId="0" borderId="31" xfId="61" applyFont="1" applyBorder="1" applyAlignment="1">
      <alignment wrapText="1"/>
    </xf>
    <xf numFmtId="0" fontId="5" fillId="0" borderId="31" xfId="0" applyFont="1" applyFill="1" applyBorder="1" applyAlignment="1">
      <alignment horizontal="center" wrapText="1"/>
    </xf>
    <xf numFmtId="0" fontId="5" fillId="0" borderId="31" xfId="61" applyFont="1" applyBorder="1" applyAlignment="1">
      <alignment horizontal="center" wrapText="1"/>
    </xf>
    <xf numFmtId="0" fontId="0" fillId="0" borderId="12" xfId="0" applyBorder="1"/>
    <xf numFmtId="0" fontId="5" fillId="0" borderId="31" xfId="61" applyFont="1" applyFill="1" applyBorder="1" applyAlignment="1">
      <alignment horizontal="center" wrapText="1"/>
    </xf>
    <xf numFmtId="0" fontId="7" fillId="0" borderId="0" xfId="2" applyFont="1" applyBorder="1" applyAlignment="1">
      <alignment horizontal="left"/>
    </xf>
    <xf numFmtId="0" fontId="5" fillId="0" borderId="0" xfId="55"/>
    <xf numFmtId="2" fontId="5" fillId="0" borderId="0" xfId="55" applyNumberFormat="1"/>
    <xf numFmtId="0" fontId="5" fillId="0" borderId="0" xfId="55" applyAlignment="1">
      <alignment horizontal="center"/>
    </xf>
    <xf numFmtId="0" fontId="5" fillId="0" borderId="53" xfId="55" applyBorder="1"/>
    <xf numFmtId="0" fontId="5" fillId="0" borderId="31" xfId="55" applyBorder="1" applyAlignment="1">
      <alignment horizontal="center"/>
    </xf>
    <xf numFmtId="0" fontId="5" fillId="0" borderId="50" xfId="55" applyBorder="1"/>
    <xf numFmtId="0" fontId="5" fillId="0" borderId="15" xfId="55" applyBorder="1" applyAlignment="1">
      <alignment horizontal="center"/>
    </xf>
    <xf numFmtId="0" fontId="5" fillId="0" borderId="36" xfId="55" applyBorder="1"/>
    <xf numFmtId="0" fontId="5" fillId="0" borderId="36" xfId="55" applyBorder="1" applyAlignment="1">
      <alignment horizontal="center"/>
    </xf>
    <xf numFmtId="0" fontId="5" fillId="0" borderId="12" xfId="2" applyFont="1" applyBorder="1" applyAlignment="1">
      <alignment horizontal="center"/>
    </xf>
    <xf numFmtId="0" fontId="40" fillId="35" borderId="12" xfId="2" applyFont="1" applyFill="1" applyBorder="1" applyAlignment="1">
      <alignment horizontal="left"/>
    </xf>
    <xf numFmtId="164" fontId="5" fillId="0" borderId="12" xfId="55" applyNumberFormat="1" applyBorder="1" applyAlignment="1">
      <alignment horizontal="center"/>
    </xf>
    <xf numFmtId="164" fontId="62" fillId="0" borderId="12" xfId="61" applyNumberFormat="1" applyFont="1" applyFill="1" applyBorder="1" applyAlignment="1">
      <alignment horizontal="center"/>
    </xf>
    <xf numFmtId="3" fontId="62" fillId="0" borderId="12" xfId="61" applyNumberFormat="1" applyFont="1" applyBorder="1" applyAlignment="1">
      <alignment horizontal="center"/>
    </xf>
    <xf numFmtId="0" fontId="0" fillId="25" borderId="0" xfId="0" applyFill="1" applyAlignment="1">
      <alignment horizontal="center"/>
    </xf>
    <xf numFmtId="0" fontId="0" fillId="37" borderId="15" xfId="0" applyFill="1" applyBorder="1" applyAlignment="1">
      <alignment horizontal="left"/>
    </xf>
    <xf numFmtId="0" fontId="0" fillId="38" borderId="15" xfId="0" applyFill="1" applyBorder="1"/>
    <xf numFmtId="3" fontId="5" fillId="26" borderId="50" xfId="2" applyNumberFormat="1" applyFont="1" applyFill="1" applyBorder="1"/>
    <xf numFmtId="0" fontId="40" fillId="26" borderId="0" xfId="2" applyFont="1" applyFill="1" applyBorder="1" applyAlignment="1">
      <alignment horizontal="center" vertical="center"/>
    </xf>
    <xf numFmtId="0" fontId="40" fillId="26" borderId="52" xfId="2" applyFont="1" applyFill="1" applyBorder="1" applyAlignment="1">
      <alignment horizontal="center" vertical="center"/>
    </xf>
    <xf numFmtId="0" fontId="40" fillId="25" borderId="0" xfId="2" applyFont="1" applyFill="1" applyBorder="1" applyAlignment="1">
      <alignment horizontal="center" vertical="center"/>
    </xf>
    <xf numFmtId="0" fontId="5" fillId="0" borderId="0" xfId="2" applyFont="1" applyBorder="1" applyAlignment="1">
      <alignment horizontal="right"/>
    </xf>
    <xf numFmtId="0" fontId="40" fillId="0" borderId="0" xfId="2" applyFont="1" applyFill="1" applyBorder="1" applyAlignment="1">
      <alignment horizontal="left"/>
    </xf>
    <xf numFmtId="164" fontId="40" fillId="0" borderId="0" xfId="2" applyNumberFormat="1" applyFont="1" applyFill="1" applyBorder="1" applyAlignment="1">
      <alignment horizontal="center"/>
    </xf>
    <xf numFmtId="164" fontId="5" fillId="26" borderId="50" xfId="2" applyNumberFormat="1" applyFont="1" applyFill="1" applyBorder="1" applyAlignment="1">
      <alignment horizontal="center"/>
    </xf>
    <xf numFmtId="164" fontId="5" fillId="26" borderId="0" xfId="2" applyNumberFormat="1" applyFont="1" applyFill="1" applyBorder="1" applyAlignment="1">
      <alignment horizontal="center"/>
    </xf>
    <xf numFmtId="164" fontId="5" fillId="26" borderId="52" xfId="2" applyNumberFormat="1" applyFont="1" applyFill="1" applyBorder="1" applyAlignment="1">
      <alignment horizontal="center"/>
    </xf>
    <xf numFmtId="164" fontId="0" fillId="25" borderId="0" xfId="0" applyNumberFormat="1" applyFill="1"/>
    <xf numFmtId="164" fontId="0" fillId="37" borderId="15" xfId="0" applyNumberFormat="1" applyFill="1" applyBorder="1"/>
    <xf numFmtId="173" fontId="0" fillId="38" borderId="15" xfId="0" applyNumberFormat="1" applyFill="1" applyBorder="1"/>
    <xf numFmtId="0" fontId="39" fillId="0" borderId="0" xfId="2" applyFont="1" applyFill="1" applyBorder="1" applyAlignment="1">
      <alignment horizontal="center"/>
    </xf>
    <xf numFmtId="164" fontId="39" fillId="0" borderId="0" xfId="2" applyNumberFormat="1" applyFont="1" applyFill="1" applyBorder="1" applyAlignment="1">
      <alignment horizontal="center"/>
    </xf>
    <xf numFmtId="164" fontId="39" fillId="39" borderId="50" xfId="2" applyNumberFormat="1" applyFont="1" applyFill="1" applyBorder="1" applyAlignment="1">
      <alignment horizontal="right"/>
    </xf>
    <xf numFmtId="164" fontId="39" fillId="39" borderId="0" xfId="2" applyNumberFormat="1" applyFont="1" applyFill="1" applyBorder="1" applyAlignment="1">
      <alignment horizontal="right"/>
    </xf>
    <xf numFmtId="164" fontId="39" fillId="39" borderId="52" xfId="2" applyNumberFormat="1" applyFont="1" applyFill="1" applyBorder="1" applyAlignment="1">
      <alignment horizontal="right"/>
    </xf>
    <xf numFmtId="164" fontId="39" fillId="40" borderId="0" xfId="2" applyNumberFormat="1" applyFont="1" applyFill="1" applyBorder="1" applyAlignment="1">
      <alignment horizontal="right"/>
    </xf>
    <xf numFmtId="164" fontId="39" fillId="41" borderId="15" xfId="2" applyNumberFormat="1" applyFont="1" applyFill="1" applyBorder="1" applyAlignment="1">
      <alignment horizontal="right"/>
    </xf>
    <xf numFmtId="173" fontId="39" fillId="42" borderId="15" xfId="2" applyNumberFormat="1" applyFont="1" applyFill="1" applyBorder="1" applyAlignment="1">
      <alignment horizontal="right"/>
    </xf>
    <xf numFmtId="0" fontId="7" fillId="0" borderId="0" xfId="2" applyFont="1"/>
    <xf numFmtId="166" fontId="0" fillId="0" borderId="0" xfId="0" applyNumberFormat="1" applyAlignment="1">
      <alignment horizontal="center"/>
    </xf>
    <xf numFmtId="10" fontId="0" fillId="0" borderId="0" xfId="0" applyNumberFormat="1" applyAlignment="1">
      <alignment horizontal="center"/>
    </xf>
    <xf numFmtId="9" fontId="5" fillId="0" borderId="46" xfId="59" applyNumberFormat="1" applyFont="1" applyBorder="1" applyAlignment="1" applyProtection="1">
      <alignment horizontal="center"/>
      <protection hidden="1"/>
    </xf>
    <xf numFmtId="9" fontId="5" fillId="0" borderId="49" xfId="59" applyNumberFormat="1" applyFont="1" applyBorder="1" applyAlignment="1" applyProtection="1">
      <alignment horizontal="center"/>
      <protection hidden="1"/>
    </xf>
    <xf numFmtId="0" fontId="4" fillId="0" borderId="0" xfId="61" applyFont="1" applyBorder="1" applyAlignment="1"/>
    <xf numFmtId="0" fontId="5" fillId="0" borderId="0" xfId="0" applyFont="1" applyAlignment="1" applyProtection="1">
      <alignment horizontal="left"/>
      <protection hidden="1"/>
    </xf>
    <xf numFmtId="0" fontId="2" fillId="0" borderId="0" xfId="0" applyFont="1" applyAlignment="1" applyProtection="1">
      <alignment horizontal="left"/>
      <protection hidden="1"/>
    </xf>
    <xf numFmtId="0" fontId="2" fillId="0" borderId="0" xfId="0" applyFont="1" applyFill="1" applyBorder="1" applyAlignment="1" applyProtection="1">
      <alignment horizontal="left" wrapText="1"/>
      <protection hidden="1"/>
    </xf>
    <xf numFmtId="0" fontId="2" fillId="0" borderId="0" xfId="59" applyFont="1" applyProtection="1">
      <protection hidden="1"/>
    </xf>
    <xf numFmtId="164" fontId="0" fillId="0" borderId="12" xfId="0" applyNumberFormat="1" applyFill="1" applyBorder="1" applyAlignment="1" applyProtection="1">
      <alignment horizontal="center"/>
      <protection hidden="1"/>
    </xf>
    <xf numFmtId="164" fontId="2" fillId="0" borderId="12" xfId="0" applyNumberFormat="1" applyFont="1" applyFill="1" applyBorder="1" applyAlignment="1" applyProtection="1">
      <alignment horizontal="center"/>
      <protection hidden="1"/>
    </xf>
    <xf numFmtId="164" fontId="2" fillId="0" borderId="48" xfId="0" applyNumberFormat="1" applyFont="1" applyFill="1" applyBorder="1" applyAlignment="1" applyProtection="1">
      <alignment horizontal="center"/>
      <protection hidden="1"/>
    </xf>
    <xf numFmtId="0" fontId="2" fillId="24" borderId="54" xfId="0" applyFont="1" applyFill="1" applyBorder="1" applyAlignment="1" applyProtection="1">
      <alignment horizontal="left" wrapText="1"/>
      <protection hidden="1"/>
    </xf>
    <xf numFmtId="164" fontId="2" fillId="43" borderId="0" xfId="59" applyNumberFormat="1" applyFont="1" applyFill="1" applyAlignment="1" applyProtection="1">
      <alignment horizontal="center"/>
      <protection hidden="1"/>
    </xf>
    <xf numFmtId="0" fontId="7" fillId="44" borderId="0" xfId="59" applyFont="1" applyFill="1" applyBorder="1" applyAlignment="1" applyProtection="1">
      <alignment horizontal="center"/>
      <protection hidden="1"/>
    </xf>
    <xf numFmtId="0" fontId="2" fillId="0" borderId="0" xfId="59" applyFont="1" applyAlignment="1" applyProtection="1">
      <alignment horizontal="center"/>
      <protection hidden="1"/>
    </xf>
    <xf numFmtId="0" fontId="0" fillId="0" borderId="0" xfId="0" applyFill="1" applyAlignment="1" applyProtection="1">
      <alignment horizontal="center"/>
      <protection hidden="1"/>
    </xf>
    <xf numFmtId="164" fontId="0" fillId="0" borderId="3" xfId="0" applyNumberFormat="1" applyFill="1" applyBorder="1" applyAlignment="1" applyProtection="1">
      <alignment horizontal="center"/>
      <protection hidden="1"/>
    </xf>
    <xf numFmtId="0" fontId="2" fillId="0" borderId="0" xfId="59" applyFont="1" applyFill="1" applyAlignment="1" applyProtection="1">
      <alignment horizontal="center"/>
      <protection hidden="1"/>
    </xf>
    <xf numFmtId="164" fontId="0" fillId="0" borderId="0" xfId="0" applyNumberFormat="1" applyFill="1" applyBorder="1" applyAlignment="1" applyProtection="1">
      <alignment horizontal="center"/>
      <protection hidden="1"/>
    </xf>
    <xf numFmtId="164" fontId="2" fillId="0" borderId="0" xfId="59" applyNumberFormat="1" applyFont="1" applyFill="1" applyBorder="1" applyAlignment="1" applyProtection="1">
      <alignment horizontal="center"/>
      <protection hidden="1"/>
    </xf>
    <xf numFmtId="0" fontId="7" fillId="0" borderId="42" xfId="59" applyFont="1" applyFill="1" applyBorder="1" applyAlignment="1" applyProtection="1">
      <alignment horizontal="left"/>
      <protection hidden="1"/>
    </xf>
    <xf numFmtId="0" fontId="7" fillId="0" borderId="44" xfId="0" applyFont="1" applyFill="1" applyBorder="1" applyAlignment="1" applyProtection="1">
      <alignment horizontal="center"/>
      <protection hidden="1"/>
    </xf>
    <xf numFmtId="0" fontId="2" fillId="0" borderId="45" xfId="0" applyFont="1" applyFill="1" applyBorder="1" applyProtection="1">
      <protection hidden="1"/>
    </xf>
    <xf numFmtId="0" fontId="0" fillId="0" borderId="46" xfId="0" applyFill="1" applyBorder="1" applyAlignment="1" applyProtection="1">
      <alignment horizontal="center"/>
      <protection hidden="1"/>
    </xf>
    <xf numFmtId="0" fontId="2" fillId="0" borderId="45" xfId="59" applyFont="1" applyFill="1" applyBorder="1" applyAlignment="1" applyProtection="1">
      <alignment horizontal="left"/>
      <protection hidden="1"/>
    </xf>
    <xf numFmtId="3" fontId="2" fillId="0" borderId="46" xfId="59" applyNumberFormat="1" applyFont="1" applyFill="1" applyBorder="1" applyAlignment="1" applyProtection="1">
      <alignment horizontal="center"/>
      <protection hidden="1"/>
    </xf>
    <xf numFmtId="0" fontId="2" fillId="0" borderId="47" xfId="59" applyFont="1" applyFill="1" applyBorder="1" applyAlignment="1" applyProtection="1">
      <alignment horizontal="left"/>
      <protection hidden="1"/>
    </xf>
    <xf numFmtId="3" fontId="2" fillId="0" borderId="49" xfId="59" applyNumberFormat="1" applyFont="1" applyFill="1" applyBorder="1" applyAlignment="1" applyProtection="1">
      <alignment horizontal="center"/>
      <protection hidden="1"/>
    </xf>
    <xf numFmtId="0" fontId="2" fillId="0" borderId="0" xfId="59" applyFont="1" applyFill="1" applyProtection="1">
      <protection hidden="1"/>
    </xf>
    <xf numFmtId="0" fontId="2" fillId="0" borderId="0" xfId="59" applyFont="1" applyFill="1" applyBorder="1" applyProtection="1">
      <protection hidden="1"/>
    </xf>
    <xf numFmtId="0" fontId="0" fillId="0" borderId="0" xfId="0" applyFill="1" applyBorder="1" applyAlignment="1" applyProtection="1">
      <alignment horizontal="center"/>
      <protection hidden="1"/>
    </xf>
    <xf numFmtId="0" fontId="2" fillId="0" borderId="0" xfId="59" applyFont="1" applyFill="1" applyBorder="1" applyAlignment="1" applyProtection="1">
      <alignment horizontal="center"/>
      <protection hidden="1"/>
    </xf>
    <xf numFmtId="0" fontId="7" fillId="0" borderId="0" xfId="0" applyFont="1" applyFill="1" applyAlignment="1" applyProtection="1">
      <alignment horizontal="right"/>
      <protection hidden="1"/>
    </xf>
    <xf numFmtId="164" fontId="7" fillId="0" borderId="3" xfId="0" applyNumberFormat="1" applyFont="1" applyFill="1" applyBorder="1" applyAlignment="1" applyProtection="1">
      <alignment horizontal="center"/>
      <protection hidden="1"/>
    </xf>
    <xf numFmtId="164" fontId="7" fillId="0" borderId="3" xfId="59" applyNumberFormat="1" applyFont="1" applyBorder="1" applyAlignment="1" applyProtection="1">
      <alignment horizontal="center"/>
      <protection hidden="1"/>
    </xf>
    <xf numFmtId="164" fontId="5" fillId="0" borderId="30" xfId="59" applyNumberFormat="1" applyFont="1" applyBorder="1" applyAlignment="1" applyProtection="1">
      <alignment horizontal="center"/>
      <protection hidden="1"/>
    </xf>
    <xf numFmtId="0" fontId="2" fillId="0" borderId="45" xfId="0" applyFont="1" applyBorder="1" applyProtection="1">
      <protection hidden="1"/>
    </xf>
    <xf numFmtId="0" fontId="2" fillId="0" borderId="12" xfId="0" applyFont="1" applyBorder="1" applyAlignment="1" applyProtection="1">
      <alignment horizontal="center"/>
      <protection hidden="1"/>
    </xf>
    <xf numFmtId="3" fontId="5" fillId="0" borderId="0" xfId="59" applyNumberFormat="1" applyFont="1" applyBorder="1" applyAlignment="1" applyProtection="1">
      <alignment horizontal="center"/>
      <protection hidden="1"/>
    </xf>
    <xf numFmtId="164" fontId="5" fillId="0" borderId="31" xfId="59" applyNumberFormat="1" applyFont="1" applyBorder="1" applyAlignment="1" applyProtection="1">
      <alignment horizontal="center"/>
      <protection hidden="1"/>
    </xf>
    <xf numFmtId="9" fontId="5" fillId="0" borderId="58" xfId="59" applyNumberFormat="1" applyFont="1" applyBorder="1" applyAlignment="1" applyProtection="1">
      <alignment horizontal="center"/>
      <protection hidden="1"/>
    </xf>
    <xf numFmtId="164" fontId="2" fillId="0" borderId="57" xfId="59" applyNumberFormat="1" applyFont="1" applyBorder="1" applyAlignment="1" applyProtection="1">
      <alignment horizontal="left"/>
      <protection hidden="1"/>
    </xf>
    <xf numFmtId="164" fontId="2" fillId="0" borderId="0" xfId="59" applyNumberFormat="1" applyFont="1" applyAlignment="1" applyProtection="1">
      <alignment horizontal="center"/>
      <protection hidden="1"/>
    </xf>
    <xf numFmtId="164" fontId="64" fillId="0" borderId="0" xfId="0" applyNumberFormat="1" applyFont="1" applyBorder="1" applyAlignment="1" applyProtection="1">
      <alignment horizontal="center"/>
      <protection hidden="1"/>
    </xf>
    <xf numFmtId="0" fontId="5" fillId="0" borderId="59" xfId="0" applyFont="1" applyBorder="1" applyProtection="1">
      <protection hidden="1"/>
    </xf>
    <xf numFmtId="164" fontId="5" fillId="0" borderId="59" xfId="59" applyNumberFormat="1" applyFont="1" applyBorder="1" applyAlignment="1" applyProtection="1">
      <alignment horizontal="center"/>
      <protection hidden="1"/>
    </xf>
    <xf numFmtId="0" fontId="5" fillId="0" borderId="59" xfId="59" applyFont="1" applyBorder="1" applyAlignment="1" applyProtection="1">
      <alignment horizontal="center"/>
      <protection hidden="1"/>
    </xf>
    <xf numFmtId="0" fontId="2" fillId="0" borderId="0" xfId="0" applyFont="1" applyFill="1" applyBorder="1" applyAlignment="1" applyProtection="1">
      <alignment horizontal="left"/>
      <protection hidden="1"/>
    </xf>
    <xf numFmtId="0" fontId="2"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protection hidden="1"/>
    </xf>
    <xf numFmtId="0" fontId="8" fillId="0" borderId="23" xfId="0" applyFont="1" applyBorder="1" applyProtection="1">
      <protection hidden="1"/>
    </xf>
    <xf numFmtId="0" fontId="0" fillId="0" borderId="25" xfId="0" applyBorder="1" applyAlignment="1" applyProtection="1">
      <alignment horizontal="right"/>
      <protection hidden="1"/>
    </xf>
    <xf numFmtId="0" fontId="0" fillId="0" borderId="60" xfId="0" applyBorder="1" applyAlignment="1" applyProtection="1">
      <alignment horizontal="center"/>
      <protection hidden="1"/>
    </xf>
    <xf numFmtId="0" fontId="0" fillId="0" borderId="61" xfId="0" applyBorder="1" applyAlignment="1" applyProtection="1">
      <alignment horizontal="right"/>
      <protection hidden="1"/>
    </xf>
    <xf numFmtId="0" fontId="0" fillId="24" borderId="54" xfId="0" applyFill="1" applyBorder="1" applyAlignment="1" applyProtection="1">
      <alignment horizontal="left"/>
      <protection hidden="1"/>
    </xf>
    <xf numFmtId="0" fontId="2" fillId="24" borderId="54" xfId="0" applyFont="1" applyFill="1" applyBorder="1" applyAlignment="1" applyProtection="1">
      <alignment horizontal="left"/>
      <protection hidden="1"/>
    </xf>
    <xf numFmtId="0" fontId="2" fillId="0" borderId="54" xfId="0" applyFont="1" applyFill="1" applyBorder="1" applyAlignment="1" applyProtection="1">
      <alignment horizontal="left"/>
      <protection hidden="1"/>
    </xf>
    <xf numFmtId="0" fontId="2" fillId="0" borderId="62" xfId="0" applyFont="1" applyFill="1" applyBorder="1" applyAlignment="1" applyProtection="1">
      <alignment horizontal="left"/>
      <protection hidden="1"/>
    </xf>
    <xf numFmtId="0" fontId="7" fillId="0" borderId="63" xfId="0" applyFont="1" applyBorder="1" applyAlignment="1" applyProtection="1">
      <alignment horizontal="center" wrapText="1"/>
      <protection hidden="1"/>
    </xf>
    <xf numFmtId="164" fontId="0" fillId="0" borderId="63" xfId="0" applyNumberFormat="1" applyFill="1" applyBorder="1" applyAlignment="1" applyProtection="1">
      <alignment horizontal="center"/>
      <protection hidden="1"/>
    </xf>
    <xf numFmtId="164" fontId="2" fillId="0" borderId="63" xfId="0" applyNumberFormat="1" applyFont="1" applyFill="1" applyBorder="1" applyAlignment="1" applyProtection="1">
      <alignment horizontal="center"/>
      <protection hidden="1"/>
    </xf>
    <xf numFmtId="164" fontId="2" fillId="0" borderId="64" xfId="0" applyNumberFormat="1" applyFont="1" applyFill="1" applyBorder="1" applyAlignment="1" applyProtection="1">
      <alignment horizontal="center"/>
      <protection hidden="1"/>
    </xf>
    <xf numFmtId="0" fontId="0" fillId="0" borderId="65" xfId="0" applyBorder="1" applyAlignment="1" applyProtection="1">
      <alignment horizontal="right"/>
      <protection hidden="1"/>
    </xf>
    <xf numFmtId="0" fontId="0" fillId="0" borderId="36" xfId="0" applyBorder="1" applyAlignment="1" applyProtection="1">
      <alignment horizontal="right"/>
      <protection hidden="1"/>
    </xf>
    <xf numFmtId="0" fontId="5" fillId="0" borderId="26" xfId="0" applyFont="1" applyBorder="1" applyAlignment="1" applyProtection="1">
      <protection hidden="1"/>
    </xf>
    <xf numFmtId="0" fontId="0" fillId="24" borderId="47" xfId="0" applyFill="1" applyBorder="1" applyProtection="1">
      <protection hidden="1"/>
    </xf>
    <xf numFmtId="0" fontId="0" fillId="24" borderId="48" xfId="0" applyFill="1" applyBorder="1" applyAlignment="1" applyProtection="1">
      <alignment horizontal="center" wrapText="1"/>
      <protection hidden="1"/>
    </xf>
    <xf numFmtId="0" fontId="0" fillId="0" borderId="48" xfId="0" applyBorder="1" applyProtection="1">
      <protection hidden="1"/>
    </xf>
    <xf numFmtId="164" fontId="0" fillId="0" borderId="49" xfId="0" applyNumberFormat="1" applyBorder="1" applyAlignment="1" applyProtection="1">
      <alignment horizontal="center"/>
      <protection hidden="1"/>
    </xf>
    <xf numFmtId="3" fontId="2" fillId="0" borderId="0" xfId="0" applyNumberFormat="1" applyFont="1" applyFill="1" applyBorder="1" applyAlignment="1" applyProtection="1">
      <alignment horizontal="center"/>
      <protection hidden="1"/>
    </xf>
    <xf numFmtId="164" fontId="5" fillId="0" borderId="0" xfId="59" applyNumberFormat="1" applyFont="1" applyBorder="1" applyAlignment="1" applyProtection="1">
      <alignment horizontal="left"/>
      <protection hidden="1"/>
    </xf>
    <xf numFmtId="9" fontId="5" fillId="0" borderId="0" xfId="59" applyNumberFormat="1" applyFont="1" applyBorder="1" applyAlignment="1" applyProtection="1">
      <alignment horizontal="center"/>
      <protection hidden="1"/>
    </xf>
    <xf numFmtId="0" fontId="2" fillId="0" borderId="0" xfId="0" applyFont="1" applyFill="1" applyBorder="1" applyAlignment="1" applyProtection="1">
      <alignment horizontal="left" vertical="center"/>
      <protection hidden="1"/>
    </xf>
    <xf numFmtId="0" fontId="1" fillId="0" borderId="0" xfId="84"/>
    <xf numFmtId="0" fontId="2" fillId="0" borderId="0" xfId="61" applyFont="1" applyBorder="1" applyAlignment="1"/>
    <xf numFmtId="0" fontId="0" fillId="0" borderId="23" xfId="0" applyBorder="1"/>
    <xf numFmtId="0" fontId="0" fillId="0" borderId="24" xfId="0" applyBorder="1"/>
    <xf numFmtId="166" fontId="63" fillId="0" borderId="24" xfId="0" applyNumberFormat="1" applyFont="1" applyBorder="1" applyAlignment="1">
      <alignment horizontal="center"/>
    </xf>
    <xf numFmtId="0" fontId="63" fillId="0" borderId="24" xfId="0" applyFont="1" applyBorder="1"/>
    <xf numFmtId="0" fontId="63" fillId="0" borderId="25" xfId="0" applyFont="1" applyBorder="1"/>
    <xf numFmtId="0" fontId="63" fillId="0" borderId="0" xfId="0" applyFont="1"/>
    <xf numFmtId="0" fontId="2" fillId="0" borderId="12" xfId="61" applyFont="1" applyBorder="1" applyAlignment="1">
      <alignment horizontal="left" wrapText="1"/>
    </xf>
    <xf numFmtId="0" fontId="2" fillId="0" borderId="12" xfId="61" applyFont="1" applyBorder="1"/>
    <xf numFmtId="0" fontId="2" fillId="0" borderId="12" xfId="84" applyFont="1" applyFill="1" applyBorder="1" applyAlignment="1">
      <alignment horizontal="center" wrapText="1"/>
    </xf>
    <xf numFmtId="0" fontId="1" fillId="0" borderId="12" xfId="84" applyBorder="1"/>
    <xf numFmtId="0" fontId="0" fillId="0" borderId="26" xfId="0" applyBorder="1"/>
    <xf numFmtId="0" fontId="63" fillId="0" borderId="0" xfId="0" applyFont="1" applyBorder="1" applyAlignment="1">
      <alignment horizontal="center"/>
    </xf>
    <xf numFmtId="0" fontId="63" fillId="0" borderId="0" xfId="0" applyFont="1" applyBorder="1"/>
    <xf numFmtId="0" fontId="63" fillId="0" borderId="27" xfId="0" applyFont="1" applyBorder="1"/>
    <xf numFmtId="0" fontId="2" fillId="0" borderId="12" xfId="61" applyFont="1" applyBorder="1" applyAlignment="1">
      <alignment horizontal="left"/>
    </xf>
    <xf numFmtId="0" fontId="2" fillId="0" borderId="12" xfId="61" applyFont="1" applyFill="1" applyBorder="1"/>
    <xf numFmtId="164" fontId="2" fillId="0" borderId="12" xfId="61" applyNumberFormat="1" applyFont="1" applyFill="1" applyBorder="1" applyAlignment="1">
      <alignment horizontal="center"/>
    </xf>
    <xf numFmtId="164" fontId="2" fillId="0" borderId="12" xfId="61" applyNumberFormat="1" applyFont="1" applyBorder="1"/>
    <xf numFmtId="0" fontId="63" fillId="0" borderId="0" xfId="0" applyFont="1" applyBorder="1" applyAlignment="1">
      <alignment horizontal="right"/>
    </xf>
    <xf numFmtId="164" fontId="63" fillId="0" borderId="0" xfId="0" applyNumberFormat="1" applyFont="1" applyBorder="1" applyAlignment="1">
      <alignment horizontal="center"/>
    </xf>
    <xf numFmtId="164" fontId="64" fillId="0" borderId="0" xfId="0" applyNumberFormat="1" applyFont="1" applyBorder="1" applyAlignment="1">
      <alignment horizontal="center"/>
    </xf>
    <xf numFmtId="0" fontId="64" fillId="0" borderId="0" xfId="0" applyFont="1" applyBorder="1"/>
    <xf numFmtId="164" fontId="64" fillId="0" borderId="66" xfId="0" applyNumberFormat="1" applyFont="1" applyBorder="1" applyAlignment="1">
      <alignment horizontal="center"/>
    </xf>
    <xf numFmtId="164" fontId="64" fillId="0" borderId="27" xfId="0" applyNumberFormat="1" applyFont="1" applyBorder="1" applyAlignment="1">
      <alignment horizontal="center"/>
    </xf>
    <xf numFmtId="0" fontId="0" fillId="0" borderId="28" xfId="0" applyBorder="1"/>
    <xf numFmtId="0" fontId="63" fillId="0" borderId="17" xfId="0" applyFont="1" applyBorder="1"/>
    <xf numFmtId="0" fontId="63" fillId="0" borderId="29" xfId="0" applyFont="1" applyBorder="1"/>
    <xf numFmtId="164" fontId="63" fillId="0" borderId="0" xfId="0" applyNumberFormat="1" applyFont="1" applyAlignment="1">
      <alignment horizontal="center"/>
    </xf>
    <xf numFmtId="164" fontId="63" fillId="0" borderId="0" xfId="0" applyNumberFormat="1" applyFont="1"/>
    <xf numFmtId="0" fontId="2" fillId="0" borderId="12" xfId="61" applyFont="1" applyFill="1" applyBorder="1" applyAlignment="1">
      <alignment horizontal="left"/>
    </xf>
    <xf numFmtId="166" fontId="63" fillId="0" borderId="0" xfId="0" applyNumberFormat="1" applyFont="1" applyAlignment="1">
      <alignment horizontal="center"/>
    </xf>
    <xf numFmtId="164" fontId="2" fillId="0" borderId="12" xfId="61" applyNumberFormat="1" applyFont="1" applyBorder="1" applyAlignment="1">
      <alignment horizontal="center"/>
    </xf>
    <xf numFmtId="164" fontId="2" fillId="0" borderId="0" xfId="61" applyNumberFormat="1" applyFont="1"/>
    <xf numFmtId="1" fontId="63" fillId="0" borderId="0" xfId="0" applyNumberFormat="1" applyFont="1"/>
    <xf numFmtId="3" fontId="63" fillId="0" borderId="0" xfId="0" applyNumberFormat="1" applyFont="1" applyAlignment="1">
      <alignment horizontal="center"/>
    </xf>
    <xf numFmtId="164" fontId="62" fillId="0" borderId="0" xfId="0" applyNumberFormat="1" applyFont="1" applyAlignment="1">
      <alignment horizontal="center"/>
    </xf>
    <xf numFmtId="0" fontId="2" fillId="0" borderId="0" xfId="61" applyFont="1" applyAlignment="1">
      <alignment horizontal="left"/>
    </xf>
    <xf numFmtId="0" fontId="2" fillId="0" borderId="0" xfId="61" applyFont="1" applyFill="1" applyBorder="1"/>
    <xf numFmtId="164" fontId="2" fillId="0" borderId="0" xfId="61" applyNumberFormat="1" applyFont="1" applyAlignment="1">
      <alignment horizontal="center"/>
    </xf>
    <xf numFmtId="164" fontId="2" fillId="0" borderId="30" xfId="61" applyNumberFormat="1" applyFont="1" applyFill="1" applyBorder="1" applyAlignment="1">
      <alignment horizontal="center"/>
    </xf>
    <xf numFmtId="0" fontId="2" fillId="0" borderId="0" xfId="61" applyFont="1" applyFill="1"/>
    <xf numFmtId="0" fontId="2" fillId="0" borderId="0" xfId="61" applyFont="1" applyFill="1" applyAlignment="1">
      <alignment horizontal="center"/>
    </xf>
    <xf numFmtId="43" fontId="0" fillId="0" borderId="0" xfId="32" applyFont="1"/>
    <xf numFmtId="10" fontId="0" fillId="44" borderId="0" xfId="0" applyNumberFormat="1" applyFill="1"/>
    <xf numFmtId="3" fontId="64" fillId="0" borderId="3" xfId="0" applyNumberFormat="1" applyFont="1" applyBorder="1" applyAlignment="1">
      <alignment horizontal="center"/>
    </xf>
    <xf numFmtId="164" fontId="64" fillId="0" borderId="3" xfId="0" applyNumberFormat="1" applyFont="1" applyBorder="1" applyAlignment="1">
      <alignment horizontal="center"/>
    </xf>
    <xf numFmtId="3" fontId="63" fillId="0" borderId="0" xfId="0" applyNumberFormat="1" applyFont="1" applyBorder="1" applyAlignment="1">
      <alignment horizontal="center"/>
    </xf>
    <xf numFmtId="3" fontId="64" fillId="0" borderId="30" xfId="0" applyNumberFormat="1" applyFont="1" applyBorder="1" applyAlignment="1">
      <alignment horizontal="center"/>
    </xf>
    <xf numFmtId="164" fontId="64" fillId="0" borderId="30" xfId="0" applyNumberFormat="1" applyFont="1" applyBorder="1" applyAlignment="1">
      <alignment horizontal="center"/>
    </xf>
    <xf numFmtId="164" fontId="64" fillId="0" borderId="0" xfId="0" applyNumberFormat="1" applyFont="1"/>
    <xf numFmtId="164" fontId="64" fillId="0" borderId="0" xfId="0" applyNumberFormat="1" applyFont="1" applyAlignment="1">
      <alignment horizontal="center"/>
    </xf>
    <xf numFmtId="164" fontId="0" fillId="0" borderId="0" xfId="0" applyNumberFormat="1"/>
    <xf numFmtId="166" fontId="64" fillId="0" borderId="66" xfId="0" applyNumberFormat="1" applyFont="1" applyBorder="1" applyAlignment="1">
      <alignment horizontal="center"/>
    </xf>
    <xf numFmtId="0" fontId="64" fillId="0" borderId="0" xfId="0" applyFont="1"/>
    <xf numFmtId="8" fontId="64" fillId="0" borderId="0" xfId="0" applyNumberFormat="1" applyFont="1" applyAlignment="1">
      <alignment horizontal="center"/>
    </xf>
    <xf numFmtId="166" fontId="64" fillId="45" borderId="66" xfId="0" applyNumberFormat="1" applyFont="1" applyFill="1" applyBorder="1" applyAlignment="1">
      <alignment horizontal="center"/>
    </xf>
    <xf numFmtId="0" fontId="0" fillId="0" borderId="0" xfId="0" applyAlignment="1">
      <alignment wrapText="1"/>
    </xf>
    <xf numFmtId="0" fontId="2" fillId="0" borderId="12" xfId="61" applyFont="1" applyFill="1" applyBorder="1" applyAlignment="1">
      <alignment horizontal="center" wrapText="1"/>
    </xf>
    <xf numFmtId="0" fontId="0" fillId="0" borderId="0" xfId="0" applyAlignment="1">
      <alignment wrapText="1"/>
    </xf>
    <xf numFmtId="164" fontId="5" fillId="46" borderId="0" xfId="59" applyNumberFormat="1" applyFont="1" applyFill="1" applyBorder="1" applyAlignment="1" applyProtection="1">
      <alignment horizontal="center"/>
      <protection hidden="1"/>
    </xf>
    <xf numFmtId="164" fontId="5" fillId="46" borderId="0" xfId="59" applyNumberFormat="1" applyFont="1" applyFill="1" applyAlignment="1" applyProtection="1">
      <alignment horizontal="center"/>
      <protection hidden="1"/>
    </xf>
    <xf numFmtId="0" fontId="2" fillId="0" borderId="0" xfId="0" applyFont="1" applyAlignment="1" applyProtection="1">
      <alignment horizontal="left" vertical="center" wrapText="1"/>
      <protection hidden="1"/>
    </xf>
    <xf numFmtId="169" fontId="5" fillId="0" borderId="0" xfId="0" applyNumberFormat="1" applyFont="1" applyBorder="1" applyAlignment="1" applyProtection="1">
      <alignment horizontal="center"/>
      <protection hidden="1"/>
    </xf>
    <xf numFmtId="172" fontId="7" fillId="0" borderId="0" xfId="59" applyNumberFormat="1" applyFont="1" applyFill="1" applyBorder="1" applyAlignment="1" applyProtection="1">
      <alignment horizontal="center"/>
      <protection hidden="1"/>
    </xf>
    <xf numFmtId="170" fontId="7" fillId="0" borderId="0" xfId="0" applyNumberFormat="1" applyFont="1" applyAlignment="1" applyProtection="1">
      <alignment horizontal="center"/>
      <protection hidden="1"/>
    </xf>
    <xf numFmtId="0" fontId="5" fillId="29" borderId="0" xfId="59" applyFont="1" applyFill="1" applyAlignment="1" applyProtection="1">
      <alignment horizontal="center"/>
      <protection hidden="1"/>
    </xf>
    <xf numFmtId="0" fontId="5" fillId="0" borderId="0" xfId="59" applyFont="1" applyFill="1" applyAlignment="1" applyProtection="1">
      <alignment horizontal="center"/>
      <protection hidden="1"/>
    </xf>
    <xf numFmtId="164" fontId="8" fillId="0" borderId="0" xfId="0" applyNumberFormat="1" applyFont="1" applyBorder="1" applyAlignment="1" applyProtection="1">
      <alignment horizontal="left"/>
      <protection hidden="1"/>
    </xf>
    <xf numFmtId="164" fontId="0" fillId="0" borderId="0" xfId="0" applyNumberFormat="1" applyAlignment="1" applyProtection="1">
      <alignment horizontal="center"/>
      <protection hidden="1"/>
    </xf>
    <xf numFmtId="0" fontId="2" fillId="0" borderId="0" xfId="0" applyFont="1" applyFill="1" applyAlignment="1" applyProtection="1">
      <alignment horizontal="left" vertical="center"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0" fillId="0" borderId="0" xfId="0" applyAlignment="1" applyProtection="1">
      <alignment wrapText="1"/>
      <protection hidden="1"/>
    </xf>
    <xf numFmtId="0" fontId="0" fillId="0" borderId="0" xfId="0" applyFill="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2"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0" fillId="0" borderId="53" xfId="0" applyBorder="1" applyProtection="1">
      <protection hidden="1"/>
    </xf>
    <xf numFmtId="0" fontId="0" fillId="0" borderId="51" xfId="0" applyBorder="1" applyProtection="1">
      <protection hidden="1"/>
    </xf>
    <xf numFmtId="0" fontId="7" fillId="0" borderId="50" xfId="0" applyFont="1" applyBorder="1" applyProtection="1">
      <protection hidden="1"/>
    </xf>
    <xf numFmtId="0" fontId="0" fillId="0" borderId="52" xfId="0" applyBorder="1" applyProtection="1">
      <protection hidden="1"/>
    </xf>
    <xf numFmtId="0" fontId="0" fillId="0" borderId="50" xfId="0" applyBorder="1" applyProtection="1">
      <protection hidden="1"/>
    </xf>
    <xf numFmtId="0" fontId="8" fillId="0" borderId="50" xfId="0" applyFont="1" applyBorder="1" applyProtection="1">
      <protection hidden="1"/>
    </xf>
    <xf numFmtId="0" fontId="2" fillId="0" borderId="50" xfId="0" applyFont="1" applyBorder="1" applyProtection="1">
      <protection hidden="1"/>
    </xf>
    <xf numFmtId="0" fontId="2" fillId="0" borderId="0" xfId="0" applyFont="1" applyProtection="1">
      <protection hidden="1"/>
    </xf>
    <xf numFmtId="0" fontId="5" fillId="0" borderId="50" xfId="0" applyFont="1" applyBorder="1" applyProtection="1">
      <protection hidden="1"/>
    </xf>
    <xf numFmtId="0" fontId="2" fillId="0" borderId="50" xfId="0" applyFont="1" applyFill="1" applyBorder="1" applyProtection="1">
      <protection hidden="1"/>
    </xf>
    <xf numFmtId="0" fontId="5" fillId="0" borderId="50" xfId="0" applyFont="1" applyFill="1" applyBorder="1" applyProtection="1">
      <protection hidden="1"/>
    </xf>
    <xf numFmtId="0" fontId="2" fillId="0" borderId="32" xfId="0" applyFont="1" applyFill="1" applyBorder="1" applyAlignment="1" applyProtection="1">
      <alignment wrapText="1"/>
      <protection hidden="1"/>
    </xf>
    <xf numFmtId="0" fontId="0" fillId="0" borderId="38" xfId="0" applyBorder="1" applyProtection="1">
      <protection hidden="1"/>
    </xf>
    <xf numFmtId="0" fontId="0" fillId="0" borderId="26" xfId="0" applyFill="1" applyBorder="1" applyAlignment="1">
      <alignment horizontal="left" wrapText="1"/>
    </xf>
    <xf numFmtId="0" fontId="0" fillId="0" borderId="0" xfId="0" applyFill="1" applyBorder="1" applyAlignment="1">
      <alignment horizontal="left" wrapText="1"/>
    </xf>
    <xf numFmtId="0" fontId="0" fillId="0" borderId="27" xfId="0" applyFill="1" applyBorder="1" applyAlignment="1">
      <alignment horizontal="left" wrapText="1"/>
    </xf>
    <xf numFmtId="0" fontId="2" fillId="0" borderId="0" xfId="0" applyFont="1" applyAlignment="1" applyProtection="1">
      <alignment wrapText="1"/>
      <protection hidden="1"/>
    </xf>
    <xf numFmtId="0" fontId="0" fillId="0" borderId="0" xfId="0" applyAlignment="1" applyProtection="1">
      <alignment wrapText="1"/>
      <protection hidden="1"/>
    </xf>
    <xf numFmtId="0" fontId="2" fillId="0" borderId="0" xfId="0" applyFont="1" applyFill="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63" fillId="0" borderId="0" xfId="0" applyFont="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2"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protection hidden="1"/>
    </xf>
    <xf numFmtId="0" fontId="5" fillId="0" borderId="12" xfId="58" applyFont="1" applyBorder="1" applyAlignment="1">
      <alignment horizontal="center" wrapText="1"/>
    </xf>
    <xf numFmtId="0" fontId="7" fillId="0" borderId="31" xfId="58" applyFont="1" applyBorder="1" applyAlignment="1" applyProtection="1">
      <alignment horizontal="left" vertical="top"/>
      <protection hidden="1"/>
    </xf>
    <xf numFmtId="0" fontId="5" fillId="0" borderId="31" xfId="58" applyFont="1" applyBorder="1" applyAlignment="1"/>
    <xf numFmtId="0" fontId="5" fillId="0" borderId="53" xfId="58" applyFont="1" applyBorder="1" applyAlignment="1"/>
    <xf numFmtId="166" fontId="5" fillId="36" borderId="12" xfId="58" applyNumberFormat="1" applyFont="1" applyFill="1" applyBorder="1" applyAlignment="1">
      <alignment horizontal="center" wrapText="1"/>
    </xf>
    <xf numFmtId="0" fontId="5" fillId="0" borderId="12" xfId="58" applyFont="1" applyBorder="1" applyAlignment="1" applyProtection="1">
      <alignment vertical="top"/>
      <protection hidden="1"/>
    </xf>
    <xf numFmtId="0" fontId="5" fillId="0" borderId="12" xfId="58" applyFont="1" applyBorder="1" applyAlignment="1"/>
    <xf numFmtId="0" fontId="5" fillId="34" borderId="12" xfId="58" applyFont="1" applyFill="1" applyBorder="1" applyAlignment="1" applyProtection="1">
      <alignment vertical="top"/>
      <protection hidden="1"/>
    </xf>
    <xf numFmtId="0" fontId="5" fillId="34" borderId="12" xfId="58" applyFont="1" applyFill="1" applyBorder="1" applyAlignment="1"/>
    <xf numFmtId="0" fontId="5" fillId="0" borderId="12" xfId="58" applyFont="1" applyFill="1" applyBorder="1" applyAlignment="1" applyProtection="1">
      <alignment vertical="top"/>
      <protection hidden="1"/>
    </xf>
    <xf numFmtId="0" fontId="5" fillId="0" borderId="12" xfId="58" applyFont="1" applyFill="1" applyBorder="1" applyAlignment="1"/>
    <xf numFmtId="0" fontId="5" fillId="0" borderId="20" xfId="58" applyFont="1" applyFill="1" applyBorder="1" applyAlignment="1" applyProtection="1">
      <alignment horizontal="left" vertical="top"/>
      <protection hidden="1"/>
    </xf>
    <xf numFmtId="0" fontId="5" fillId="0" borderId="3" xfId="58" applyFont="1" applyFill="1" applyBorder="1" applyAlignment="1" applyProtection="1">
      <alignment horizontal="left" vertical="top"/>
      <protection hidden="1"/>
    </xf>
    <xf numFmtId="0" fontId="5" fillId="0" borderId="56" xfId="58" applyFont="1" applyFill="1" applyBorder="1" applyAlignment="1" applyProtection="1">
      <alignment horizontal="left" vertical="top"/>
      <protection hidden="1"/>
    </xf>
    <xf numFmtId="0" fontId="5" fillId="0" borderId="0" xfId="58" applyFont="1" applyAlignment="1">
      <alignment horizontal="left" wrapText="1"/>
    </xf>
    <xf numFmtId="0" fontId="5" fillId="0" borderId="20" xfId="58" applyFont="1" applyBorder="1" applyAlignment="1" applyProtection="1">
      <alignment vertical="top"/>
      <protection hidden="1"/>
    </xf>
    <xf numFmtId="0" fontId="5" fillId="0" borderId="3" xfId="58" applyFont="1" applyBorder="1" applyAlignment="1" applyProtection="1">
      <alignment vertical="top"/>
      <protection hidden="1"/>
    </xf>
    <xf numFmtId="0" fontId="5" fillId="0" borderId="56" xfId="58" applyFont="1" applyBorder="1" applyAlignment="1" applyProtection="1">
      <alignment vertical="top"/>
      <protection hidden="1"/>
    </xf>
    <xf numFmtId="0" fontId="5" fillId="0" borderId="0" xfId="58" applyNumberFormat="1" applyFont="1" applyAlignment="1">
      <alignment horizontal="left" wrapText="1"/>
    </xf>
    <xf numFmtId="0" fontId="7" fillId="0" borderId="12" xfId="58" applyFont="1" applyFill="1" applyBorder="1" applyAlignment="1" applyProtection="1">
      <alignment vertical="top"/>
      <protection hidden="1"/>
    </xf>
    <xf numFmtId="0" fontId="5" fillId="0" borderId="20" xfId="58" applyFont="1" applyFill="1" applyBorder="1" applyAlignment="1"/>
    <xf numFmtId="0" fontId="5" fillId="0" borderId="20" xfId="58" applyFont="1" applyBorder="1" applyAlignment="1"/>
    <xf numFmtId="0" fontId="7" fillId="0" borderId="21" xfId="61" applyFont="1" applyBorder="1" applyAlignment="1">
      <alignment horizontal="center"/>
    </xf>
    <xf numFmtId="0" fontId="7" fillId="0" borderId="55" xfId="61" applyFont="1" applyBorder="1" applyAlignment="1">
      <alignment horizontal="center"/>
    </xf>
    <xf numFmtId="0" fontId="7" fillId="0" borderId="22" xfId="61" applyFont="1" applyBorder="1" applyAlignment="1">
      <alignment horizontal="center"/>
    </xf>
    <xf numFmtId="0" fontId="5" fillId="0" borderId="0" xfId="61" applyFont="1" applyAlignment="1">
      <alignment horizontal="left" wrapText="1"/>
    </xf>
    <xf numFmtId="0" fontId="0" fillId="26" borderId="50" xfId="2" applyFont="1" applyFill="1" applyBorder="1" applyAlignment="1">
      <alignment horizontal="center"/>
    </xf>
    <xf numFmtId="0" fontId="0" fillId="26" borderId="0" xfId="2" applyFont="1" applyFill="1" applyBorder="1" applyAlignment="1">
      <alignment horizontal="center"/>
    </xf>
    <xf numFmtId="0" fontId="0" fillId="26" borderId="52" xfId="2" applyFont="1" applyFill="1" applyBorder="1" applyAlignment="1">
      <alignment horizontal="center"/>
    </xf>
  </cellXfs>
  <cellStyles count="85">
    <cellStyle name="%" xfId="1"/>
    <cellStyle name="% 2" xfId="2"/>
    <cellStyle name="]_x000d__x000a_Zoomed=1_x000d__x000a_Row=0_x000d__x000a_Column=0_x000d__x000a_Height=0_x000d__x000a_Width=0_x000d__x000a_FontName=FoxFont_x000d__x000a_FontStyle=0_x000d__x000a_FontSize=9_x000d__x000a_PrtFontName=FoxPrin" xfId="3"/>
    <cellStyle name="0,0_x000d__x000d_NA_x000d__x000d_" xfId="4"/>
    <cellStyle name="20% - Accent1" xfId="5" builtinId="30" customBuiltin="1"/>
    <cellStyle name="20% - Accent2" xfId="6" builtinId="34" customBuiltin="1"/>
    <cellStyle name="20% - Accent3" xfId="7" builtinId="38" customBuiltin="1"/>
    <cellStyle name="20% - Accent4" xfId="8" builtinId="42" customBuiltin="1"/>
    <cellStyle name="20% - Accent5" xfId="9" builtinId="46" customBuiltin="1"/>
    <cellStyle name="20% - Accent6" xfId="10" builtinId="50" customBuiltin="1"/>
    <cellStyle name="40% - Accent1" xfId="11" builtinId="31" customBuiltin="1"/>
    <cellStyle name="40% - Accent2" xfId="12" builtinId="35" customBuiltin="1"/>
    <cellStyle name="40% - Accent3" xfId="13" builtinId="39" customBuiltin="1"/>
    <cellStyle name="40% - Accent4" xfId="14" builtinId="43" customBuiltin="1"/>
    <cellStyle name="40% - Accent5" xfId="15" builtinId="47" customBuiltin="1"/>
    <cellStyle name="40% - Accent6" xfId="16" builtinId="51" customBuiltin="1"/>
    <cellStyle name="60% - Accent1" xfId="17" builtinId="32" customBuiltin="1"/>
    <cellStyle name="60% - Accent2" xfId="18" builtinId="36" customBuiltin="1"/>
    <cellStyle name="60% - Accent3" xfId="19" builtinId="40" customBuiltin="1"/>
    <cellStyle name="60% - Accent4" xfId="20" builtinId="44" customBuiltin="1"/>
    <cellStyle name="60% - Accent5" xfId="21" builtinId="48" customBuiltin="1"/>
    <cellStyle name="60% - Accent6" xfId="22" builtinId="52" customBuiltin="1"/>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29" builtinId="27" customBuiltin="1"/>
    <cellStyle name="Calculation" xfId="30" builtinId="22" customBuiltin="1"/>
    <cellStyle name="Check Cell" xfId="31" builtinId="23" customBuiltin="1"/>
    <cellStyle name="Comma 2" xfId="32"/>
    <cellStyle name="Currency 2" xfId="33"/>
    <cellStyle name="Estimated" xfId="34"/>
    <cellStyle name="Explanatory Text" xfId="35" builtinId="53" customBuiltin="1"/>
    <cellStyle name="external input" xfId="36"/>
    <cellStyle name="Good" xfId="37" builtinId="26" customBuiltin="1"/>
    <cellStyle name="Grant" xfId="38"/>
    <cellStyle name="Header" xfId="39"/>
    <cellStyle name="HeaderGrant" xfId="40"/>
    <cellStyle name="HeaderLEA" xfId="41"/>
    <cellStyle name="Heading 1" xfId="42" builtinId="16" customBuiltin="1"/>
    <cellStyle name="Heading 2" xfId="43" builtinId="17" customBuiltin="1"/>
    <cellStyle name="Heading 3" xfId="44" builtinId="18" customBuiltin="1"/>
    <cellStyle name="Heading 4" xfId="45" builtinId="19" customBuiltin="1"/>
    <cellStyle name="Imported" xfId="46"/>
    <cellStyle name="Input" xfId="47" builtinId="20" customBuiltin="1"/>
    <cellStyle name="LEAName" xfId="48"/>
    <cellStyle name="LEANumber" xfId="49"/>
    <cellStyle name="Linked Cell" xfId="50" builtinId="24" customBuiltin="1"/>
    <cellStyle name="log projection" xfId="51"/>
    <cellStyle name="Neutral" xfId="52" builtinId="28" customBuiltin="1"/>
    <cellStyle name="Normal" xfId="0" builtinId="0"/>
    <cellStyle name="Normal 2" xfId="53"/>
    <cellStyle name="Normal 2 2" xfId="54"/>
    <cellStyle name="Normal 3" xfId="55"/>
    <cellStyle name="Normal 4" xfId="56"/>
    <cellStyle name="Normal 5" xfId="57"/>
    <cellStyle name="Normal 6" xfId="58"/>
    <cellStyle name="Normal 7" xfId="84"/>
    <cellStyle name="Normal_0242 1998-99 ESTIMATE" xfId="59"/>
    <cellStyle name="Normal_Sheet1" xfId="60"/>
    <cellStyle name="Normal_Special Schools - Band Descriptors" xfId="61"/>
    <cellStyle name="Normal_Special Schools - Band Descriptors (Amended)" xfId="62"/>
    <cellStyle name="Note" xfId="63" builtinId="10" customBuiltin="1"/>
    <cellStyle name="Number" xfId="64"/>
    <cellStyle name="Output" xfId="65" builtinId="21" customBuiltin="1"/>
    <cellStyle name="provisional PN158/97" xfId="66"/>
    <cellStyle name="SAPBEXaggData" xfId="67"/>
    <cellStyle name="SAPBEXchaText" xfId="68"/>
    <cellStyle name="SAPBEXHLevel0" xfId="69"/>
    <cellStyle name="SAPBEXHLevel2" xfId="70"/>
    <cellStyle name="SAPBEXHLevel3" xfId="71"/>
    <cellStyle name="SAPBEXstdItemX" xfId="72"/>
    <cellStyle name="SAPBEXtitle" xfId="73"/>
    <cellStyle name="Style 1" xfId="74"/>
    <cellStyle name="sub" xfId="75"/>
    <cellStyle name="table imported" xfId="76"/>
    <cellStyle name="table sum" xfId="77"/>
    <cellStyle name="table values" xfId="78"/>
    <cellStyle name="Title" xfId="79" builtinId="15" customBuiltin="1"/>
    <cellStyle name="Total" xfId="80" builtinId="25" customBuiltin="1"/>
    <cellStyle name="u5shares" xfId="81"/>
    <cellStyle name="Variable assumptions" xfId="82"/>
    <cellStyle name="Warning Text" xfId="8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0</xdr:colOff>
      <xdr:row>10</xdr:row>
      <xdr:rowOff>14940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14000" cy="1583764"/>
        </a:xfrm>
        <a:prstGeom prst="rect">
          <a:avLst/>
        </a:prstGeom>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rto="http://schemas.microsoft.com/office/word/2006/arto"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34</xdr:row>
          <xdr:rowOff>9525</xdr:rowOff>
        </xdr:from>
        <xdr:to>
          <xdr:col>18</xdr:col>
          <xdr:colOff>590550</xdr:colOff>
          <xdr:row>36</xdr:row>
          <xdr:rowOff>19050</xdr:rowOff>
        </xdr:to>
        <xdr:sp macro="" textlink="">
          <xdr:nvSpPr>
            <xdr:cNvPr id="25601" name="Object 1" hidden="1">
              <a:extLst>
                <a:ext uri="{63B3BB69-23CF-44E3-9099-C40C66FF867C}">
                  <a14:compatExt spid="_x0000_s2560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incolnshire.gov.uk\folderredir$\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incolnshire.gov.uk\folderredir$\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incolnshire.gov.uk\folderredir$\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incolnshire.gov.uk\folderredir$\Documents%20and%20Settings\Bill\Local%20Settings\Temporary%20Internet%20Files\OLKB\School%20Development%20Grant%20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incolnshire.gov.uk\folderredir$\Documents%20and%20Settings\Mark.Popplewell\Local%20Settings\Temporary%20Internet%20Files\OLK1A\Copy%20of%20DSG%20baseline%20estimates%20final%201011%20tool%20with%20Academy%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ncolnshire.gov.uk\folderredir$\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ncolnshire.gov.uk\folderredir$\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k.popplewell/AppData/Local/Microsoft/Windows/Temporary%20Internet%20Files/Content.Outlook/5L0QRJG8/925_HNPPlaceDataChecking%20v4%20no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incolnshire.gov.uk\folderredir$\Documents%20and%20Settings\tony.warnock\Local%20Settings\Temporary%20Internet%20Files\OLK8\Performance%20Management%20calcul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incolnshire.gov.uk\folderredir$\PIMD\Projects\DSG%20Estimates\2006\Working%20Files\2007-08%20pupil%20number%20tool-Oct%2006%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image" Target="../media/image2.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K39"/>
  <sheetViews>
    <sheetView zoomScale="85" workbookViewId="0">
      <selection activeCell="G52" sqref="G52"/>
    </sheetView>
  </sheetViews>
  <sheetFormatPr defaultRowHeight="12.75" x14ac:dyDescent="0.2"/>
  <cols>
    <col min="1" max="1" width="8" customWidth="1"/>
    <col min="2" max="2" width="31.140625" style="2" customWidth="1"/>
    <col min="3" max="3" width="3.140625" style="4" customWidth="1"/>
    <col min="4" max="4" width="14.5703125" style="4" customWidth="1"/>
    <col min="5" max="5" width="14.7109375" customWidth="1"/>
    <col min="6" max="6" width="4.42578125" customWidth="1"/>
    <col min="7" max="7" width="40.7109375" customWidth="1"/>
    <col min="8" max="8" width="65.42578125" customWidth="1"/>
    <col min="9" max="9" width="8.5703125" customWidth="1"/>
  </cols>
  <sheetData>
    <row r="1" spans="1:11" ht="20.25" x14ac:dyDescent="0.3">
      <c r="A1" s="5" t="s">
        <v>296</v>
      </c>
    </row>
    <row r="3" spans="1:11" x14ac:dyDescent="0.2">
      <c r="A3" s="8" t="s">
        <v>0</v>
      </c>
    </row>
    <row r="4" spans="1:11" ht="13.5" thickBot="1" x14ac:dyDescent="0.25">
      <c r="A4" s="1"/>
    </row>
    <row r="5" spans="1:11" x14ac:dyDescent="0.2">
      <c r="B5" s="6" t="s">
        <v>1</v>
      </c>
      <c r="D5" s="6" t="s">
        <v>59</v>
      </c>
      <c r="E5" s="87"/>
      <c r="F5" s="31" t="s">
        <v>9</v>
      </c>
      <c r="G5" s="32"/>
      <c r="H5" s="32"/>
      <c r="I5" s="32"/>
      <c r="J5" s="33"/>
      <c r="K5" s="24"/>
    </row>
    <row r="6" spans="1:11" ht="13.5" thickBot="1" x14ac:dyDescent="0.25">
      <c r="E6" s="85"/>
      <c r="F6" s="540" t="s">
        <v>65</v>
      </c>
      <c r="G6" s="541"/>
      <c r="H6" s="541"/>
      <c r="I6" s="541"/>
      <c r="J6" s="542"/>
      <c r="K6" s="24"/>
    </row>
    <row r="7" spans="1:11" ht="13.5" thickBot="1" x14ac:dyDescent="0.25">
      <c r="A7" s="28" t="s">
        <v>2</v>
      </c>
      <c r="B7" s="29" t="s">
        <v>51</v>
      </c>
      <c r="D7" s="20">
        <v>11692.020638096787</v>
      </c>
      <c r="E7" s="144"/>
      <c r="F7" s="540"/>
      <c r="G7" s="541"/>
      <c r="H7" s="541"/>
      <c r="I7" s="541"/>
      <c r="J7" s="542"/>
      <c r="K7" s="24"/>
    </row>
    <row r="8" spans="1:11" ht="13.5" thickBot="1" x14ac:dyDescent="0.25">
      <c r="D8" s="20"/>
      <c r="E8" s="144"/>
      <c r="F8" s="540" t="s">
        <v>14</v>
      </c>
      <c r="G8" s="541"/>
      <c r="H8" s="541"/>
      <c r="I8" s="541"/>
      <c r="J8" s="542"/>
      <c r="K8" s="24"/>
    </row>
    <row r="9" spans="1:11" ht="13.5" thickBot="1" x14ac:dyDescent="0.25">
      <c r="A9" s="28" t="s">
        <v>3</v>
      </c>
      <c r="B9" s="29" t="s">
        <v>4</v>
      </c>
      <c r="D9" s="20">
        <v>7350.1419469065795</v>
      </c>
      <c r="E9" s="144"/>
      <c r="F9" s="540"/>
      <c r="G9" s="541"/>
      <c r="H9" s="541"/>
      <c r="I9" s="541"/>
      <c r="J9" s="542"/>
      <c r="K9" s="24"/>
    </row>
    <row r="10" spans="1:11" ht="13.5" thickBot="1" x14ac:dyDescent="0.25">
      <c r="D10" s="20"/>
      <c r="E10" s="144"/>
      <c r="F10" s="540" t="s">
        <v>12</v>
      </c>
      <c r="G10" s="541"/>
      <c r="H10" s="541"/>
      <c r="I10" s="541"/>
      <c r="J10" s="542"/>
      <c r="K10" s="24"/>
    </row>
    <row r="11" spans="1:11" ht="13.5" thickBot="1" x14ac:dyDescent="0.25">
      <c r="A11" s="28" t="s">
        <v>5</v>
      </c>
      <c r="B11" s="29" t="s">
        <v>6</v>
      </c>
      <c r="D11" s="20">
        <v>6243.7244928897762</v>
      </c>
      <c r="E11" s="144"/>
      <c r="F11" s="540"/>
      <c r="G11" s="541"/>
      <c r="H11" s="541"/>
      <c r="I11" s="541"/>
      <c r="J11" s="542"/>
      <c r="K11" s="24"/>
    </row>
    <row r="12" spans="1:11" ht="13.5" thickBot="1" x14ac:dyDescent="0.25">
      <c r="D12" s="20"/>
      <c r="E12" s="144"/>
      <c r="F12" s="34" t="s">
        <v>13</v>
      </c>
      <c r="G12" s="26"/>
      <c r="H12" s="26"/>
      <c r="I12" s="26"/>
      <c r="J12" s="35"/>
      <c r="K12" s="24"/>
    </row>
    <row r="13" spans="1:11" ht="13.5" thickBot="1" x14ac:dyDescent="0.25">
      <c r="A13" s="28" t="s">
        <v>7</v>
      </c>
      <c r="B13" s="29" t="s">
        <v>51</v>
      </c>
      <c r="D13" s="20">
        <v>11692.020638096787</v>
      </c>
      <c r="E13" s="144"/>
      <c r="F13" s="34" t="s">
        <v>11</v>
      </c>
      <c r="G13" s="26"/>
      <c r="H13" s="26"/>
      <c r="I13" s="26"/>
      <c r="J13" s="35"/>
      <c r="K13" s="24"/>
    </row>
    <row r="14" spans="1:11" ht="13.5" thickBot="1" x14ac:dyDescent="0.25">
      <c r="D14" s="20"/>
      <c r="E14" s="144"/>
      <c r="F14" s="34" t="s">
        <v>10</v>
      </c>
      <c r="G14" s="26"/>
      <c r="H14" s="26"/>
      <c r="I14" s="26"/>
      <c r="J14" s="35"/>
      <c r="K14" s="24"/>
    </row>
    <row r="15" spans="1:11" ht="13.5" thickBot="1" x14ac:dyDescent="0.25">
      <c r="A15" s="28" t="s">
        <v>8</v>
      </c>
      <c r="B15" s="30" t="s">
        <v>51</v>
      </c>
      <c r="D15" s="20">
        <v>11692.020638096787</v>
      </c>
      <c r="E15" s="144"/>
      <c r="F15" s="34" t="s">
        <v>48</v>
      </c>
      <c r="G15" s="26"/>
      <c r="H15" s="26"/>
      <c r="I15" s="26"/>
      <c r="J15" s="35"/>
      <c r="K15" s="24"/>
    </row>
    <row r="16" spans="1:11" ht="13.5" thickBot="1" x14ac:dyDescent="0.25">
      <c r="A16" s="25"/>
      <c r="B16" s="27"/>
      <c r="D16" s="20"/>
      <c r="E16" s="144"/>
      <c r="F16" s="34" t="s">
        <v>49</v>
      </c>
      <c r="G16" s="26"/>
      <c r="H16" s="26"/>
      <c r="I16" s="26"/>
      <c r="J16" s="35"/>
      <c r="K16" s="24"/>
    </row>
    <row r="17" spans="1:10" ht="13.5" thickBot="1" x14ac:dyDescent="0.25">
      <c r="A17" s="28" t="s">
        <v>8</v>
      </c>
      <c r="B17" s="30" t="s">
        <v>108</v>
      </c>
      <c r="D17" s="20">
        <v>2635.0478891670464</v>
      </c>
      <c r="E17" s="144"/>
      <c r="F17" s="36" t="s">
        <v>111</v>
      </c>
      <c r="G17" s="72"/>
      <c r="H17" s="72"/>
      <c r="I17" s="72"/>
      <c r="J17" s="73"/>
    </row>
    <row r="19" spans="1:10" x14ac:dyDescent="0.2">
      <c r="A19" s="8" t="s">
        <v>45</v>
      </c>
      <c r="E19" s="3"/>
    </row>
    <row r="21" spans="1:10" ht="25.5" x14ac:dyDescent="0.2">
      <c r="B21" s="13" t="s">
        <v>19</v>
      </c>
      <c r="C21" s="14"/>
      <c r="D21" s="15" t="s">
        <v>20</v>
      </c>
      <c r="E21" s="17" t="s">
        <v>21</v>
      </c>
      <c r="G21" s="16" t="s">
        <v>43</v>
      </c>
      <c r="H21" s="17" t="s">
        <v>44</v>
      </c>
    </row>
    <row r="22" spans="1:10" x14ac:dyDescent="0.2">
      <c r="B22" s="11" t="s">
        <v>15</v>
      </c>
      <c r="C22" s="12"/>
      <c r="D22" s="22">
        <v>314686.51772419503</v>
      </c>
      <c r="E22" s="23">
        <v>69201.680689977453</v>
      </c>
      <c r="G22" s="10" t="s">
        <v>112</v>
      </c>
      <c r="H22" s="9" t="s">
        <v>29</v>
      </c>
    </row>
    <row r="23" spans="1:10" x14ac:dyDescent="0.2">
      <c r="B23" s="11" t="s">
        <v>16</v>
      </c>
      <c r="C23" s="12"/>
      <c r="D23" s="22">
        <v>405763.82046267512</v>
      </c>
      <c r="E23" s="23">
        <v>88790.687513148558</v>
      </c>
      <c r="G23" s="10" t="s">
        <v>23</v>
      </c>
      <c r="H23" s="9" t="s">
        <v>30</v>
      </c>
    </row>
    <row r="24" spans="1:10" x14ac:dyDescent="0.2">
      <c r="B24" s="11" t="s">
        <v>17</v>
      </c>
      <c r="C24" s="12"/>
      <c r="D24" s="22">
        <v>418723.18610831723</v>
      </c>
      <c r="E24" s="23">
        <v>117027.3922528728</v>
      </c>
      <c r="G24" s="10" t="s">
        <v>28</v>
      </c>
      <c r="H24" s="9" t="s">
        <v>31</v>
      </c>
    </row>
    <row r="25" spans="1:10" x14ac:dyDescent="0.2">
      <c r="B25" s="11" t="s">
        <v>18</v>
      </c>
      <c r="C25" s="12"/>
      <c r="D25" s="22">
        <v>493762.11190507573</v>
      </c>
      <c r="E25" s="23">
        <v>131719.7894229154</v>
      </c>
      <c r="G25" s="10" t="s">
        <v>24</v>
      </c>
      <c r="H25" s="9" t="s">
        <v>32</v>
      </c>
    </row>
    <row r="26" spans="1:10" x14ac:dyDescent="0.2">
      <c r="B26" s="88" t="s">
        <v>50</v>
      </c>
      <c r="C26" s="89"/>
      <c r="D26" s="90">
        <v>280697.16623783787</v>
      </c>
      <c r="E26" s="90">
        <v>55663.058379368813</v>
      </c>
      <c r="G26" s="10" t="s">
        <v>25</v>
      </c>
      <c r="H26" s="9" t="s">
        <v>33</v>
      </c>
    </row>
    <row r="27" spans="1:10" x14ac:dyDescent="0.2">
      <c r="B27" s="88" t="s">
        <v>22</v>
      </c>
      <c r="C27" s="89"/>
      <c r="D27" s="90">
        <v>360067.26321081078</v>
      </c>
      <c r="E27" s="90">
        <v>58044.118057617408</v>
      </c>
      <c r="G27" s="10" t="s">
        <v>26</v>
      </c>
      <c r="H27" s="9" t="s">
        <v>34</v>
      </c>
    </row>
    <row r="28" spans="1:10" x14ac:dyDescent="0.2">
      <c r="B28" s="9" t="s">
        <v>141</v>
      </c>
      <c r="C28" s="18"/>
      <c r="D28" s="23">
        <v>120796.88938648649</v>
      </c>
      <c r="E28" s="23">
        <v>18681.5</v>
      </c>
      <c r="G28" s="10" t="s">
        <v>27</v>
      </c>
      <c r="H28" s="9" t="s">
        <v>35</v>
      </c>
    </row>
    <row r="29" spans="1:10" x14ac:dyDescent="0.2">
      <c r="B29" s="9" t="s">
        <v>140</v>
      </c>
      <c r="C29" s="18"/>
      <c r="D29" s="23">
        <v>311632.88595405407</v>
      </c>
      <c r="E29" s="23">
        <v>45920</v>
      </c>
      <c r="G29" s="10" t="s">
        <v>63</v>
      </c>
      <c r="H29" s="9" t="s">
        <v>60</v>
      </c>
    </row>
    <row r="30" spans="1:10" x14ac:dyDescent="0.2">
      <c r="G30" s="10" t="s">
        <v>110</v>
      </c>
      <c r="H30" s="9" t="s">
        <v>39</v>
      </c>
    </row>
    <row r="31" spans="1:10" x14ac:dyDescent="0.2">
      <c r="B31" s="15" t="s">
        <v>46</v>
      </c>
      <c r="C31" s="18"/>
      <c r="D31" s="19" t="s">
        <v>47</v>
      </c>
      <c r="H31" s="9" t="s">
        <v>36</v>
      </c>
    </row>
    <row r="32" spans="1:10" x14ac:dyDescent="0.2">
      <c r="B32" s="91"/>
      <c r="C32" s="92"/>
      <c r="D32" s="141"/>
      <c r="H32" s="9" t="s">
        <v>37</v>
      </c>
    </row>
    <row r="33" spans="2:8" x14ac:dyDescent="0.2">
      <c r="B33" s="9" t="s">
        <v>142</v>
      </c>
      <c r="C33" s="18"/>
      <c r="D33" s="23">
        <v>408510</v>
      </c>
      <c r="H33" s="9" t="s">
        <v>40</v>
      </c>
    </row>
    <row r="34" spans="2:8" x14ac:dyDescent="0.2">
      <c r="H34" s="9" t="s">
        <v>38</v>
      </c>
    </row>
    <row r="35" spans="2:8" x14ac:dyDescent="0.2">
      <c r="B35" s="49" t="s">
        <v>210</v>
      </c>
      <c r="C35" s="18"/>
      <c r="D35" s="18"/>
      <c r="H35" s="9" t="s">
        <v>41</v>
      </c>
    </row>
    <row r="36" spans="2:8" x14ac:dyDescent="0.2">
      <c r="B36" s="9" t="str">
        <f>'2013-14 Funding'!B18</f>
        <v>Lincoln Fortuna (PFI)</v>
      </c>
      <c r="C36" s="18"/>
      <c r="D36" s="23" t="e">
        <f>'2013-14 Funding'!G18</f>
        <v>#REF!</v>
      </c>
      <c r="H36" s="9" t="s">
        <v>61</v>
      </c>
    </row>
    <row r="37" spans="2:8" x14ac:dyDescent="0.2">
      <c r="B37" s="9" t="str">
        <f>'2013-14 Funding'!B19</f>
        <v>Grantham Phoenix (PFI)</v>
      </c>
      <c r="C37" s="18"/>
      <c r="D37" s="23" t="e">
        <f>'2013-14 Funding'!G19</f>
        <v>#REF!</v>
      </c>
      <c r="H37" s="9" t="s">
        <v>42</v>
      </c>
    </row>
    <row r="38" spans="2:8" x14ac:dyDescent="0.2">
      <c r="B38" s="9" t="str">
        <f>'2013-14 Funding'!B20</f>
        <v>Lincoln Sincil Sports College (PFI)</v>
      </c>
      <c r="C38" s="18"/>
      <c r="D38" s="23" t="e">
        <f>'2013-14 Funding'!G20</f>
        <v>#REF!</v>
      </c>
    </row>
    <row r="39" spans="2:8" x14ac:dyDescent="0.2">
      <c r="B39" s="9" t="str">
        <f>'2013-14 Funding'!B21</f>
        <v>Spilsby The Lady Jane Franklin (PFI)</v>
      </c>
      <c r="C39" s="18"/>
      <c r="D39" s="23" t="e">
        <f>'2013-14 Funding'!G21</f>
        <v>#REF!</v>
      </c>
    </row>
  </sheetData>
  <customSheetViews>
    <customSheetView guid="{6B129A8F-21F1-407F-BF03-B1785CB23E02}" scale="85" fitToPage="1" state="hidden">
      <selection activeCell="G40" sqref="G40"/>
      <pageMargins left="0.75" right="0.75" top="1" bottom="1" header="0.5" footer="0.5"/>
      <pageSetup paperSize="9" scale="79" orientation="landscape" r:id="rId1"/>
      <headerFooter alignWithMargins="0">
        <oddFooter>&amp;F</oddFooter>
      </headerFooter>
    </customSheetView>
  </customSheetViews>
  <mergeCells count="3">
    <mergeCell ref="F6:J7"/>
    <mergeCell ref="F8:J9"/>
    <mergeCell ref="F10:J11"/>
  </mergeCells>
  <phoneticPr fontId="3" type="noConversion"/>
  <pageMargins left="0.75" right="0.75" top="1" bottom="1" header="0.5" footer="0.5"/>
  <pageSetup paperSize="9" scale="79" orientation="landscape" r:id="rId2"/>
  <headerFooter alignWithMargins="0">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T48"/>
  <sheetViews>
    <sheetView zoomScale="85" zoomScaleNormal="100" workbookViewId="0">
      <pane xSplit="2" topLeftCell="C1" activePane="topRight" state="frozen"/>
      <selection activeCell="B1" sqref="B1"/>
      <selection pane="topRight" activeCell="B2" sqref="B2"/>
    </sheetView>
  </sheetViews>
  <sheetFormatPr defaultColWidth="10.28515625" defaultRowHeight="12.75" x14ac:dyDescent="0.2"/>
  <cols>
    <col min="1" max="1" width="10.28515625" style="38"/>
    <col min="2" max="2" width="31.5703125" style="38" customWidth="1"/>
    <col min="3" max="3" width="6.140625" style="38" customWidth="1"/>
    <col min="4" max="7" width="15.7109375" style="45" customWidth="1"/>
    <col min="8" max="8" width="15.7109375" style="38" customWidth="1"/>
    <col min="9" max="10" width="15.7109375" style="44" customWidth="1"/>
    <col min="11" max="11" width="15.7109375" style="45" customWidth="1"/>
    <col min="12" max="14" width="15.7109375" style="45" hidden="1" customWidth="1"/>
    <col min="15" max="16" width="15.7109375" style="38" hidden="1" customWidth="1"/>
    <col min="17" max="17" width="10.28515625" style="45" customWidth="1"/>
    <col min="18" max="18" width="0.85546875" style="38" customWidth="1"/>
    <col min="19" max="19" width="10.28515625" style="46" customWidth="1"/>
    <col min="20" max="20" width="11.85546875" style="45" bestFit="1" customWidth="1"/>
    <col min="21" max="21" width="10.28515625" style="45"/>
    <col min="22" max="23" width="10.28515625" style="38"/>
    <col min="24" max="24" width="9.5703125" style="45" customWidth="1"/>
    <col min="25" max="26" width="10.28515625" style="45"/>
    <col min="27" max="35" width="10.28515625" style="38"/>
    <col min="36" max="36" width="11.5703125" style="38" customWidth="1"/>
    <col min="37" max="43" width="10.28515625" style="38"/>
    <col min="44" max="44" width="10.28515625" style="45"/>
    <col min="45" max="45" width="0.85546875" style="38" customWidth="1"/>
    <col min="46" max="16384" width="10.28515625" style="38"/>
  </cols>
  <sheetData>
    <row r="1" spans="1:46" ht="18.75" thickBot="1" x14ac:dyDescent="0.3">
      <c r="B1" s="48" t="s">
        <v>329</v>
      </c>
      <c r="C1" s="37"/>
      <c r="AJ1" s="238"/>
    </row>
    <row r="2" spans="1:46" ht="13.5" thickBot="1" x14ac:dyDescent="0.25">
      <c r="B2" s="52"/>
      <c r="C2" s="52"/>
      <c r="Q2" s="81"/>
      <c r="AA2" s="575" t="s">
        <v>216</v>
      </c>
      <c r="AB2" s="576"/>
      <c r="AC2" s="576"/>
      <c r="AD2" s="576"/>
      <c r="AE2" s="576"/>
      <c r="AF2" s="576"/>
      <c r="AG2" s="577"/>
      <c r="AH2" s="575" t="s">
        <v>217</v>
      </c>
      <c r="AI2" s="576"/>
      <c r="AJ2" s="576"/>
      <c r="AK2" s="576"/>
      <c r="AL2" s="576"/>
      <c r="AM2" s="576"/>
      <c r="AN2" s="576"/>
      <c r="AO2" s="577"/>
    </row>
    <row r="3" spans="1:46" ht="39" customHeight="1" thickBot="1" x14ac:dyDescent="0.25">
      <c r="A3" s="240" t="s">
        <v>268</v>
      </c>
      <c r="B3" s="40" t="s">
        <v>66</v>
      </c>
      <c r="C3" s="43" t="s">
        <v>52</v>
      </c>
      <c r="D3" s="145" t="s">
        <v>20</v>
      </c>
      <c r="E3" s="146" t="s">
        <v>21</v>
      </c>
      <c r="F3" s="41" t="s">
        <v>64</v>
      </c>
      <c r="G3" s="41" t="s">
        <v>114</v>
      </c>
      <c r="H3" s="41" t="s">
        <v>103</v>
      </c>
      <c r="I3" s="174" t="s">
        <v>201</v>
      </c>
      <c r="J3" s="174" t="s">
        <v>237</v>
      </c>
      <c r="K3" s="41" t="s">
        <v>104</v>
      </c>
      <c r="L3" s="70" t="s">
        <v>145</v>
      </c>
      <c r="M3" s="70" t="s">
        <v>146</v>
      </c>
      <c r="N3" s="41" t="s">
        <v>105</v>
      </c>
      <c r="Q3" s="70" t="s">
        <v>298</v>
      </c>
      <c r="S3" s="70" t="s">
        <v>151</v>
      </c>
      <c r="T3" s="151" t="s">
        <v>150</v>
      </c>
      <c r="U3" s="151" t="s">
        <v>152</v>
      </c>
      <c r="V3" s="151" t="s">
        <v>203</v>
      </c>
      <c r="W3" s="151" t="s">
        <v>204</v>
      </c>
      <c r="X3" s="70" t="s">
        <v>300</v>
      </c>
      <c r="Y3" s="70" t="s">
        <v>220</v>
      </c>
      <c r="Z3" s="70" t="s">
        <v>263</v>
      </c>
      <c r="AA3" s="219" t="s">
        <v>245</v>
      </c>
      <c r="AB3" s="220" t="s">
        <v>150</v>
      </c>
      <c r="AC3" s="220" t="s">
        <v>152</v>
      </c>
      <c r="AD3" s="221" t="s">
        <v>246</v>
      </c>
      <c r="AE3" s="220" t="s">
        <v>150</v>
      </c>
      <c r="AF3" s="220" t="s">
        <v>152</v>
      </c>
      <c r="AG3" s="222" t="s">
        <v>247</v>
      </c>
      <c r="AH3" s="216" t="s">
        <v>248</v>
      </c>
      <c r="AI3" s="208" t="s">
        <v>267</v>
      </c>
      <c r="AJ3" s="208" t="s">
        <v>269</v>
      </c>
      <c r="AK3" s="211" t="s">
        <v>249</v>
      </c>
      <c r="AL3" s="212" t="s">
        <v>259</v>
      </c>
      <c r="AM3" s="212" t="s">
        <v>260</v>
      </c>
      <c r="AN3" s="210" t="s">
        <v>257</v>
      </c>
      <c r="AO3" s="210" t="s">
        <v>258</v>
      </c>
      <c r="AP3" s="70" t="s">
        <v>261</v>
      </c>
      <c r="AQ3" s="70" t="s">
        <v>262</v>
      </c>
      <c r="AR3" s="70" t="s">
        <v>104</v>
      </c>
      <c r="AS3" s="41"/>
      <c r="AT3" s="41" t="s">
        <v>105</v>
      </c>
    </row>
    <row r="4" spans="1:46" x14ac:dyDescent="0.2">
      <c r="A4" s="241">
        <v>9257010</v>
      </c>
      <c r="B4" s="42" t="s">
        <v>67</v>
      </c>
      <c r="C4" s="43">
        <v>3</v>
      </c>
      <c r="D4" s="100">
        <f>'Funding Model'!$D$22</f>
        <v>314686.51772419503</v>
      </c>
      <c r="E4" s="100">
        <f>'Funding Model'!$E$22</f>
        <v>69201.680689977453</v>
      </c>
      <c r="F4" s="69"/>
      <c r="G4" s="69"/>
      <c r="H4" s="69">
        <f>'Band Calculations'!U5</f>
        <v>425593.21832531283</v>
      </c>
      <c r="I4" s="100">
        <v>4912</v>
      </c>
      <c r="J4" s="100">
        <v>616.77824313180849</v>
      </c>
      <c r="K4" s="69">
        <f t="shared" ref="K4:K16" si="0">SUM(D4:J4)</f>
        <v>815010.19498261716</v>
      </c>
      <c r="L4" s="69" t="e">
        <f>#REF!</f>
        <v>#REF!</v>
      </c>
      <c r="M4" s="69" t="e">
        <f>#REF!</f>
        <v>#REF!</v>
      </c>
      <c r="N4" s="69" t="e">
        <f>K4-L4-M4</f>
        <v>#REF!</v>
      </c>
      <c r="Q4" s="142">
        <f>'Band Calculations'!V5</f>
        <v>43</v>
      </c>
      <c r="S4" s="151">
        <f>K4/Q4</f>
        <v>18953.725464712028</v>
      </c>
      <c r="T4" s="151">
        <f>Q4*10000</f>
        <v>430000</v>
      </c>
      <c r="U4" s="151">
        <f>S4-10000</f>
        <v>8953.725464712028</v>
      </c>
      <c r="V4" s="284" t="e">
        <f>#REF!</f>
        <v>#REF!</v>
      </c>
      <c r="W4" s="100" t="e">
        <f>IF(U4&gt;V4,(U4),(V4))</f>
        <v>#REF!</v>
      </c>
      <c r="X4" s="69" t="e">
        <f>10000+W4</f>
        <v>#REF!</v>
      </c>
      <c r="Y4" s="69" t="e">
        <f>(W4-U4)*Q4</f>
        <v>#REF!</v>
      </c>
      <c r="Z4" s="69" t="e">
        <f>K4+Y4</f>
        <v>#REF!</v>
      </c>
      <c r="AA4" s="217">
        <f>'Band Calculations'!I5</f>
        <v>29</v>
      </c>
      <c r="AB4" s="190">
        <f>(AA4*10000)*(5/12)</f>
        <v>120833.33333333334</v>
      </c>
      <c r="AC4" s="190" t="e">
        <f>(AA4*W4)*(5/12)</f>
        <v>#REF!</v>
      </c>
      <c r="AD4" s="217">
        <f>'Band Calculations'!O5</f>
        <v>35</v>
      </c>
      <c r="AE4" s="190">
        <f>(AD4*10000)*(7/12)</f>
        <v>204166.66666666669</v>
      </c>
      <c r="AF4" s="190" t="e">
        <f>(AD4*W4)*(7/12)</f>
        <v>#REF!</v>
      </c>
      <c r="AG4" s="218" t="e">
        <f>AB4+AC4+AE4+AF4</f>
        <v>#REF!</v>
      </c>
      <c r="AH4" s="142">
        <f>'Band Calculations'!J5</f>
        <v>14</v>
      </c>
      <c r="AI4" s="69">
        <f>(AH4*10000)*(5/12)</f>
        <v>58333.333333333336</v>
      </c>
      <c r="AJ4" s="69" t="e">
        <f>(AH4*W4)*(5/12)</f>
        <v>#REF!</v>
      </c>
      <c r="AK4" s="142">
        <f>'Band Calculations'!P5</f>
        <v>8</v>
      </c>
      <c r="AL4" s="69">
        <f>(AK4*10000)*(7/12)</f>
        <v>46666.666666666672</v>
      </c>
      <c r="AM4" s="69" t="e">
        <f>(AK4*W4)*(7/12)</f>
        <v>#REF!</v>
      </c>
      <c r="AN4" s="69">
        <f>AI4+AL4</f>
        <v>105000</v>
      </c>
      <c r="AO4" s="69" t="e">
        <f>AJ4+AM4</f>
        <v>#REF!</v>
      </c>
      <c r="AP4" s="69">
        <f t="shared" ref="AP4:AP16" si="1">AB4+AE4+AN4</f>
        <v>430000</v>
      </c>
      <c r="AQ4" s="69" t="e">
        <f t="shared" ref="AQ4:AQ16" si="2">AC4+AF4+AO4</f>
        <v>#REF!</v>
      </c>
      <c r="AR4" s="69" t="e">
        <f>AP4+AQ4</f>
        <v>#REF!</v>
      </c>
      <c r="AS4" s="41"/>
      <c r="AT4" s="69" t="e">
        <f t="shared" ref="AT4:AT16" si="3">Z4-AR4</f>
        <v>#REF!</v>
      </c>
    </row>
    <row r="5" spans="1:46" x14ac:dyDescent="0.2">
      <c r="A5" s="241">
        <v>9257005</v>
      </c>
      <c r="B5" s="42" t="s">
        <v>68</v>
      </c>
      <c r="C5" s="43">
        <v>3</v>
      </c>
      <c r="D5" s="100">
        <f>'Funding Model'!$D$22</f>
        <v>314686.51772419503</v>
      </c>
      <c r="E5" s="100">
        <f>'Funding Model'!$E$22</f>
        <v>69201.680689977453</v>
      </c>
      <c r="F5" s="69"/>
      <c r="G5" s="69"/>
      <c r="H5" s="69">
        <f>'Band Calculations'!U6</f>
        <v>553473.01366939745</v>
      </c>
      <c r="I5" s="100">
        <v>12055.5</v>
      </c>
      <c r="J5" s="100">
        <v>675.74486784427756</v>
      </c>
      <c r="K5" s="69">
        <f t="shared" si="0"/>
        <v>950092.45695141423</v>
      </c>
      <c r="L5" s="69" t="e">
        <f>#REF!</f>
        <v>#REF!</v>
      </c>
      <c r="M5" s="69" t="e">
        <f>#REF!</f>
        <v>#REF!</v>
      </c>
      <c r="N5" s="69" t="e">
        <f t="shared" ref="N5:N16" si="4">K5-L5-M5</f>
        <v>#REF!</v>
      </c>
      <c r="Q5" s="142">
        <f>'Band Calculations'!V6</f>
        <v>63</v>
      </c>
      <c r="S5" s="151">
        <f t="shared" ref="S5:S24" si="5">K5/Q5</f>
        <v>15080.832650022448</v>
      </c>
      <c r="T5" s="151">
        <f t="shared" ref="T5:T24" si="6">Q5*10000</f>
        <v>630000</v>
      </c>
      <c r="U5" s="151">
        <f t="shared" ref="U5:U24" si="7">S5-10000</f>
        <v>5080.8326500224484</v>
      </c>
      <c r="V5" s="284" t="e">
        <f>#REF!</f>
        <v>#REF!</v>
      </c>
      <c r="W5" s="69" t="e">
        <f>IF(U5&gt;V5,(U5),(V5))</f>
        <v>#REF!</v>
      </c>
      <c r="X5" s="69" t="e">
        <f t="shared" ref="X5:X24" si="8">10000+W5</f>
        <v>#REF!</v>
      </c>
      <c r="Y5" s="69" t="e">
        <f t="shared" ref="Y5:Y15" si="9">(W5-U5)*Q5</f>
        <v>#REF!</v>
      </c>
      <c r="Z5" s="69" t="e">
        <f t="shared" ref="Z5:Z24" si="10">K5+Y5</f>
        <v>#REF!</v>
      </c>
      <c r="AA5" s="215">
        <f>'Band Calculations'!I6</f>
        <v>38</v>
      </c>
      <c r="AB5" s="69">
        <f t="shared" ref="AB5:AB24" si="11">(AA5*10000)*(5/12)</f>
        <v>158333.33333333334</v>
      </c>
      <c r="AC5" s="69" t="e">
        <f t="shared" ref="AC5:AC24" si="12">(AA5*W5)*(5/12)</f>
        <v>#REF!</v>
      </c>
      <c r="AD5" s="215">
        <f>'Band Calculations'!O6</f>
        <v>38</v>
      </c>
      <c r="AE5" s="69">
        <f t="shared" ref="AE5:AE24" si="13">(AD5*10000)*(7/12)</f>
        <v>221666.66666666669</v>
      </c>
      <c r="AF5" s="69" t="e">
        <f t="shared" ref="AF5:AF24" si="14">(AD5*W5)*(7/12)</f>
        <v>#REF!</v>
      </c>
      <c r="AG5" s="173" t="e">
        <f t="shared" ref="AG5:AG24" si="15">AB5+AC5+AE5+AF5</f>
        <v>#REF!</v>
      </c>
      <c r="AH5" s="215">
        <f>'Band Calculations'!J6</f>
        <v>25</v>
      </c>
      <c r="AI5" s="69">
        <f t="shared" ref="AI5:AI24" si="16">(AH5*10000)*(5/12)</f>
        <v>104166.66666666667</v>
      </c>
      <c r="AJ5" s="69" t="e">
        <f t="shared" ref="AJ5:AJ24" si="17">(AH5*W5)*(5/12)</f>
        <v>#REF!</v>
      </c>
      <c r="AK5" s="215">
        <f>'Band Calculations'!P6</f>
        <v>25</v>
      </c>
      <c r="AL5" s="69">
        <f t="shared" ref="AL5:AL24" si="18">(AK5*10000)*(7/12)</f>
        <v>145833.33333333334</v>
      </c>
      <c r="AM5" s="69" t="e">
        <f t="shared" ref="AM5:AM24" si="19">(AK5*W5)*(7/12)</f>
        <v>#REF!</v>
      </c>
      <c r="AN5" s="69">
        <f t="shared" ref="AN5:AN24" si="20">AI5+AL5</f>
        <v>250000</v>
      </c>
      <c r="AO5" s="69" t="e">
        <f t="shared" ref="AO5:AO24" si="21">AJ5+AM5</f>
        <v>#REF!</v>
      </c>
      <c r="AP5" s="69">
        <f t="shared" si="1"/>
        <v>630000</v>
      </c>
      <c r="AQ5" s="69" t="e">
        <f t="shared" si="2"/>
        <v>#REF!</v>
      </c>
      <c r="AR5" s="69" t="e">
        <f t="shared" ref="AR5:AR24" si="22">AP5+AQ5</f>
        <v>#REF!</v>
      </c>
      <c r="AS5" s="41"/>
      <c r="AT5" s="69" t="e">
        <f t="shared" si="3"/>
        <v>#REF!</v>
      </c>
    </row>
    <row r="6" spans="1:46" x14ac:dyDescent="0.2">
      <c r="A6" s="241">
        <v>9257025</v>
      </c>
      <c r="B6" s="42" t="s">
        <v>69</v>
      </c>
      <c r="C6" s="43">
        <v>3</v>
      </c>
      <c r="D6" s="100">
        <f>'Funding Model'!$D$22</f>
        <v>314686.51772419503</v>
      </c>
      <c r="E6" s="100">
        <f>'Funding Model'!$E$22</f>
        <v>69201.680689977453</v>
      </c>
      <c r="F6" s="69"/>
      <c r="G6" s="69"/>
      <c r="H6" s="69">
        <f>'Band Calculations'!U7</f>
        <v>579103.93872145144</v>
      </c>
      <c r="I6" s="100">
        <v>4465</v>
      </c>
      <c r="J6" s="100">
        <v>646.26155548804309</v>
      </c>
      <c r="K6" s="69">
        <f t="shared" si="0"/>
        <v>968103.39869111194</v>
      </c>
      <c r="L6" s="69" t="e">
        <f>#REF!</f>
        <v>#REF!</v>
      </c>
      <c r="M6" s="69" t="e">
        <f>#REF!</f>
        <v>#REF!</v>
      </c>
      <c r="N6" s="69" t="e">
        <f t="shared" si="4"/>
        <v>#REF!</v>
      </c>
      <c r="Q6" s="142">
        <f>'Band Calculations'!V7</f>
        <v>53</v>
      </c>
      <c r="S6" s="151">
        <f t="shared" si="5"/>
        <v>18266.101862096453</v>
      </c>
      <c r="T6" s="151">
        <f t="shared" si="6"/>
        <v>530000</v>
      </c>
      <c r="U6" s="151">
        <f t="shared" si="7"/>
        <v>8266.1018620964533</v>
      </c>
      <c r="V6" s="284" t="e">
        <f>#REF!</f>
        <v>#REF!</v>
      </c>
      <c r="W6" s="69" t="e">
        <f t="shared" ref="W6:W24" si="23">IF(U6&gt;V6,(U6),(V6))</f>
        <v>#REF!</v>
      </c>
      <c r="X6" s="69" t="e">
        <f t="shared" si="8"/>
        <v>#REF!</v>
      </c>
      <c r="Y6" s="69" t="e">
        <f t="shared" si="9"/>
        <v>#REF!</v>
      </c>
      <c r="Z6" s="69" t="e">
        <f t="shared" si="10"/>
        <v>#REF!</v>
      </c>
      <c r="AA6" s="215">
        <f>'Band Calculations'!I7</f>
        <v>41</v>
      </c>
      <c r="AB6" s="69">
        <f t="shared" si="11"/>
        <v>170833.33333333334</v>
      </c>
      <c r="AC6" s="69" t="e">
        <f t="shared" si="12"/>
        <v>#REF!</v>
      </c>
      <c r="AD6" s="215">
        <f>'Band Calculations'!O7</f>
        <v>39</v>
      </c>
      <c r="AE6" s="69">
        <f t="shared" si="13"/>
        <v>227500</v>
      </c>
      <c r="AF6" s="69" t="e">
        <f t="shared" si="14"/>
        <v>#REF!</v>
      </c>
      <c r="AG6" s="173" t="e">
        <f t="shared" si="15"/>
        <v>#REF!</v>
      </c>
      <c r="AH6" s="215">
        <f>'Band Calculations'!J7</f>
        <v>12</v>
      </c>
      <c r="AI6" s="69">
        <f t="shared" si="16"/>
        <v>50000</v>
      </c>
      <c r="AJ6" s="69" t="e">
        <f t="shared" si="17"/>
        <v>#REF!</v>
      </c>
      <c r="AK6" s="215">
        <f>'Band Calculations'!P7</f>
        <v>14</v>
      </c>
      <c r="AL6" s="69">
        <f t="shared" si="18"/>
        <v>81666.666666666672</v>
      </c>
      <c r="AM6" s="69" t="e">
        <f t="shared" si="19"/>
        <v>#REF!</v>
      </c>
      <c r="AN6" s="69">
        <f t="shared" si="20"/>
        <v>131666.66666666669</v>
      </c>
      <c r="AO6" s="69" t="e">
        <f t="shared" si="21"/>
        <v>#REF!</v>
      </c>
      <c r="AP6" s="69">
        <f t="shared" si="1"/>
        <v>530000</v>
      </c>
      <c r="AQ6" s="69" t="e">
        <f t="shared" si="2"/>
        <v>#REF!</v>
      </c>
      <c r="AR6" s="69" t="e">
        <f t="shared" si="22"/>
        <v>#REF!</v>
      </c>
      <c r="AS6" s="41"/>
      <c r="AT6" s="69" t="e">
        <f t="shared" si="3"/>
        <v>#REF!</v>
      </c>
    </row>
    <row r="7" spans="1:46" x14ac:dyDescent="0.2">
      <c r="A7" s="241">
        <v>9257011</v>
      </c>
      <c r="B7" s="42" t="s">
        <v>70</v>
      </c>
      <c r="C7" s="43">
        <v>3</v>
      </c>
      <c r="D7" s="100">
        <f>'Funding Model'!$D$22</f>
        <v>314686.51772419503</v>
      </c>
      <c r="E7" s="100">
        <f>'Funding Model'!$E$22</f>
        <v>69201.680689977453</v>
      </c>
      <c r="F7" s="69"/>
      <c r="G7" s="69"/>
      <c r="H7" s="69">
        <f>'Band Calculations'!U8</f>
        <v>431340.2745136476</v>
      </c>
      <c r="I7" s="100">
        <v>4911.5</v>
      </c>
      <c r="J7" s="100">
        <v>610.88158066056155</v>
      </c>
      <c r="K7" s="69">
        <f t="shared" si="0"/>
        <v>820750.85450848076</v>
      </c>
      <c r="L7" s="69" t="e">
        <f>#REF!</f>
        <v>#REF!</v>
      </c>
      <c r="M7" s="69" t="e">
        <f>#REF!</f>
        <v>#REF!</v>
      </c>
      <c r="N7" s="69" t="e">
        <f t="shared" si="4"/>
        <v>#REF!</v>
      </c>
      <c r="Q7" s="142">
        <f>'Band Calculations'!V8</f>
        <v>41</v>
      </c>
      <c r="S7" s="151">
        <f t="shared" si="5"/>
        <v>20018.313524597092</v>
      </c>
      <c r="T7" s="151">
        <f t="shared" si="6"/>
        <v>410000</v>
      </c>
      <c r="U7" s="151">
        <f t="shared" si="7"/>
        <v>10018.313524597092</v>
      </c>
      <c r="V7" s="69" t="e">
        <f>#REF!</f>
        <v>#REF!</v>
      </c>
      <c r="W7" s="69" t="e">
        <f t="shared" si="23"/>
        <v>#REF!</v>
      </c>
      <c r="X7" s="69" t="e">
        <f t="shared" si="8"/>
        <v>#REF!</v>
      </c>
      <c r="Y7" s="69" t="e">
        <f t="shared" si="9"/>
        <v>#REF!</v>
      </c>
      <c r="Z7" s="69" t="e">
        <f t="shared" si="10"/>
        <v>#REF!</v>
      </c>
      <c r="AA7" s="215">
        <f>'Band Calculations'!I8</f>
        <v>38</v>
      </c>
      <c r="AB7" s="69">
        <f t="shared" si="11"/>
        <v>158333.33333333334</v>
      </c>
      <c r="AC7" s="69" t="e">
        <f t="shared" si="12"/>
        <v>#REF!</v>
      </c>
      <c r="AD7" s="215">
        <f>'Band Calculations'!O8</f>
        <v>39</v>
      </c>
      <c r="AE7" s="69">
        <f t="shared" si="13"/>
        <v>227500</v>
      </c>
      <c r="AF7" s="69" t="e">
        <f t="shared" si="14"/>
        <v>#REF!</v>
      </c>
      <c r="AG7" s="173" t="e">
        <f t="shared" si="15"/>
        <v>#REF!</v>
      </c>
      <c r="AH7" s="215">
        <f>'Band Calculations'!J8</f>
        <v>3</v>
      </c>
      <c r="AI7" s="69">
        <f t="shared" si="16"/>
        <v>12500</v>
      </c>
      <c r="AJ7" s="69" t="e">
        <f t="shared" si="17"/>
        <v>#REF!</v>
      </c>
      <c r="AK7" s="215">
        <f>'Band Calculations'!P8</f>
        <v>2</v>
      </c>
      <c r="AL7" s="69">
        <f t="shared" si="18"/>
        <v>11666.666666666668</v>
      </c>
      <c r="AM7" s="69" t="e">
        <f t="shared" si="19"/>
        <v>#REF!</v>
      </c>
      <c r="AN7" s="69">
        <f t="shared" si="20"/>
        <v>24166.666666666668</v>
      </c>
      <c r="AO7" s="69" t="e">
        <f t="shared" si="21"/>
        <v>#REF!</v>
      </c>
      <c r="AP7" s="69">
        <f t="shared" si="1"/>
        <v>410000.00000000006</v>
      </c>
      <c r="AQ7" s="69" t="e">
        <f t="shared" si="2"/>
        <v>#REF!</v>
      </c>
      <c r="AR7" s="69" t="e">
        <f t="shared" si="22"/>
        <v>#REF!</v>
      </c>
      <c r="AS7" s="41"/>
      <c r="AT7" s="69" t="e">
        <f t="shared" si="3"/>
        <v>#REF!</v>
      </c>
    </row>
    <row r="8" spans="1:46" x14ac:dyDescent="0.2">
      <c r="A8" s="241">
        <v>9257024</v>
      </c>
      <c r="B8" s="42" t="s">
        <v>71</v>
      </c>
      <c r="C8" s="43">
        <v>3</v>
      </c>
      <c r="D8" s="100">
        <f>'Funding Model'!$D$22</f>
        <v>314686.51772419503</v>
      </c>
      <c r="E8" s="100">
        <f>'Funding Model'!$E$22</f>
        <v>69201.680689977453</v>
      </c>
      <c r="F8" s="69"/>
      <c r="G8" s="69"/>
      <c r="H8" s="69">
        <f>'Band Calculations'!U9</f>
        <v>413562.54341202579</v>
      </c>
      <c r="I8" s="100">
        <v>8483.5</v>
      </c>
      <c r="J8" s="100">
        <v>628.57156807430238</v>
      </c>
      <c r="K8" s="69">
        <f t="shared" si="0"/>
        <v>806562.81339427258</v>
      </c>
      <c r="L8" s="69" t="e">
        <f>#REF!</f>
        <v>#REF!</v>
      </c>
      <c r="M8" s="69" t="e">
        <f>#REF!</f>
        <v>#REF!</v>
      </c>
      <c r="N8" s="69" t="e">
        <f t="shared" si="4"/>
        <v>#REF!</v>
      </c>
      <c r="Q8" s="142">
        <f>'Band Calculations'!V9</f>
        <v>47</v>
      </c>
      <c r="S8" s="151">
        <f t="shared" si="5"/>
        <v>17160.910923282394</v>
      </c>
      <c r="T8" s="151">
        <f t="shared" si="6"/>
        <v>470000</v>
      </c>
      <c r="U8" s="151">
        <f t="shared" si="7"/>
        <v>7160.9109232823939</v>
      </c>
      <c r="V8" s="69" t="e">
        <f>#REF!</f>
        <v>#REF!</v>
      </c>
      <c r="W8" s="69" t="e">
        <f t="shared" si="23"/>
        <v>#REF!</v>
      </c>
      <c r="X8" s="69" t="e">
        <f t="shared" si="8"/>
        <v>#REF!</v>
      </c>
      <c r="Y8" s="69" t="e">
        <f t="shared" si="9"/>
        <v>#REF!</v>
      </c>
      <c r="Z8" s="69" t="e">
        <f t="shared" si="10"/>
        <v>#REF!</v>
      </c>
      <c r="AA8" s="215">
        <f>'Band Calculations'!I9</f>
        <v>38</v>
      </c>
      <c r="AB8" s="69">
        <f t="shared" si="11"/>
        <v>158333.33333333334</v>
      </c>
      <c r="AC8" s="69" t="e">
        <f t="shared" si="12"/>
        <v>#REF!</v>
      </c>
      <c r="AD8" s="215">
        <f>'Band Calculations'!O9</f>
        <v>36</v>
      </c>
      <c r="AE8" s="69">
        <f t="shared" si="13"/>
        <v>210000</v>
      </c>
      <c r="AF8" s="69" t="e">
        <f t="shared" si="14"/>
        <v>#REF!</v>
      </c>
      <c r="AG8" s="173" t="e">
        <f t="shared" si="15"/>
        <v>#REF!</v>
      </c>
      <c r="AH8" s="215">
        <f>'Band Calculations'!J9</f>
        <v>9</v>
      </c>
      <c r="AI8" s="69">
        <f t="shared" si="16"/>
        <v>37500</v>
      </c>
      <c r="AJ8" s="69" t="e">
        <f t="shared" si="17"/>
        <v>#REF!</v>
      </c>
      <c r="AK8" s="215">
        <f>'Band Calculations'!P9</f>
        <v>11</v>
      </c>
      <c r="AL8" s="69">
        <f t="shared" si="18"/>
        <v>64166.666666666672</v>
      </c>
      <c r="AM8" s="69" t="e">
        <f t="shared" si="19"/>
        <v>#REF!</v>
      </c>
      <c r="AN8" s="69">
        <f t="shared" si="20"/>
        <v>101666.66666666667</v>
      </c>
      <c r="AO8" s="69" t="e">
        <f t="shared" si="21"/>
        <v>#REF!</v>
      </c>
      <c r="AP8" s="69">
        <f t="shared" si="1"/>
        <v>470000.00000000006</v>
      </c>
      <c r="AQ8" s="69" t="e">
        <f t="shared" si="2"/>
        <v>#REF!</v>
      </c>
      <c r="AR8" s="69" t="e">
        <f t="shared" si="22"/>
        <v>#REF!</v>
      </c>
      <c r="AS8" s="41"/>
      <c r="AT8" s="69" t="e">
        <f t="shared" si="3"/>
        <v>#REF!</v>
      </c>
    </row>
    <row r="9" spans="1:46" x14ac:dyDescent="0.2">
      <c r="A9" s="241">
        <v>9257008</v>
      </c>
      <c r="B9" s="42" t="s">
        <v>73</v>
      </c>
      <c r="C9" s="43">
        <v>3</v>
      </c>
      <c r="D9" s="100">
        <f>'Funding Model'!D22</f>
        <v>314686.51772419503</v>
      </c>
      <c r="E9" s="100">
        <f>'Funding Model'!E22</f>
        <v>69201.680689977453</v>
      </c>
      <c r="F9" s="69"/>
      <c r="G9" s="69"/>
      <c r="H9" s="69">
        <f>'Band Calculations'!U12</f>
        <v>763633.2768432966</v>
      </c>
      <c r="I9" s="100">
        <v>10716</v>
      </c>
      <c r="J9" s="100">
        <v>737.65982379237016</v>
      </c>
      <c r="K9" s="69">
        <f t="shared" si="0"/>
        <v>1158975.1350812614</v>
      </c>
      <c r="L9" s="69" t="e">
        <f>#REF!</f>
        <v>#REF!</v>
      </c>
      <c r="M9" s="69" t="e">
        <f>#REF!</f>
        <v>#REF!</v>
      </c>
      <c r="N9" s="69" t="e">
        <f t="shared" si="4"/>
        <v>#REF!</v>
      </c>
      <c r="Q9" s="142">
        <f>'Band Calculations'!V12</f>
        <v>84</v>
      </c>
      <c r="S9" s="151">
        <f t="shared" si="5"/>
        <v>13797.323036681682</v>
      </c>
      <c r="T9" s="151">
        <f t="shared" si="6"/>
        <v>840000</v>
      </c>
      <c r="U9" s="151">
        <f t="shared" si="7"/>
        <v>3797.3230366816824</v>
      </c>
      <c r="V9" s="284" t="e">
        <f>#REF!</f>
        <v>#REF!</v>
      </c>
      <c r="W9" s="69" t="e">
        <f t="shared" si="23"/>
        <v>#REF!</v>
      </c>
      <c r="X9" s="69" t="e">
        <f t="shared" si="8"/>
        <v>#REF!</v>
      </c>
      <c r="Y9" s="69" t="e">
        <f t="shared" si="9"/>
        <v>#REF!</v>
      </c>
      <c r="Z9" s="69" t="e">
        <f t="shared" si="10"/>
        <v>#REF!</v>
      </c>
      <c r="AA9" s="215">
        <f>'Band Calculations'!I12</f>
        <v>84</v>
      </c>
      <c r="AB9" s="69">
        <f t="shared" si="11"/>
        <v>350000</v>
      </c>
      <c r="AC9" s="69" t="e">
        <f t="shared" si="12"/>
        <v>#REF!</v>
      </c>
      <c r="AD9" s="215">
        <f>'Band Calculations'!O12</f>
        <v>84</v>
      </c>
      <c r="AE9" s="69">
        <f t="shared" si="13"/>
        <v>490000.00000000006</v>
      </c>
      <c r="AF9" s="69" t="e">
        <f t="shared" si="14"/>
        <v>#REF!</v>
      </c>
      <c r="AG9" s="173" t="e">
        <f t="shared" si="15"/>
        <v>#REF!</v>
      </c>
      <c r="AH9" s="215">
        <f>'Band Calculations'!J12</f>
        <v>0</v>
      </c>
      <c r="AI9" s="69">
        <f t="shared" si="16"/>
        <v>0</v>
      </c>
      <c r="AJ9" s="69" t="e">
        <f t="shared" si="17"/>
        <v>#REF!</v>
      </c>
      <c r="AK9" s="215">
        <f>'Band Calculations'!P12</f>
        <v>0</v>
      </c>
      <c r="AL9" s="69">
        <f t="shared" si="18"/>
        <v>0</v>
      </c>
      <c r="AM9" s="69" t="e">
        <f t="shared" si="19"/>
        <v>#REF!</v>
      </c>
      <c r="AN9" s="69">
        <f t="shared" si="20"/>
        <v>0</v>
      </c>
      <c r="AO9" s="69" t="e">
        <f t="shared" si="21"/>
        <v>#REF!</v>
      </c>
      <c r="AP9" s="69">
        <f t="shared" si="1"/>
        <v>840000</v>
      </c>
      <c r="AQ9" s="69" t="e">
        <f t="shared" si="2"/>
        <v>#REF!</v>
      </c>
      <c r="AR9" s="69" t="e">
        <f t="shared" si="22"/>
        <v>#REF!</v>
      </c>
      <c r="AS9" s="41"/>
      <c r="AT9" s="69" t="e">
        <f t="shared" si="3"/>
        <v>#REF!</v>
      </c>
    </row>
    <row r="10" spans="1:46" x14ac:dyDescent="0.2">
      <c r="A10" s="241">
        <v>9257002</v>
      </c>
      <c r="B10" s="42" t="s">
        <v>75</v>
      </c>
      <c r="C10" s="43">
        <v>4</v>
      </c>
      <c r="D10" s="100">
        <f>'Funding Model'!$D$23</f>
        <v>405763.82046267512</v>
      </c>
      <c r="E10" s="100">
        <f>'Funding Model'!$E$23</f>
        <v>88790.687513148558</v>
      </c>
      <c r="F10" s="69"/>
      <c r="G10" s="69"/>
      <c r="H10" s="69">
        <f>'Band Calculations'!U14</f>
        <v>953428.91014556075</v>
      </c>
      <c r="I10" s="100">
        <v>20092.5</v>
      </c>
      <c r="J10" s="100">
        <v>873.28306063104901</v>
      </c>
      <c r="K10" s="69">
        <f t="shared" si="0"/>
        <v>1468949.2011820155</v>
      </c>
      <c r="L10" s="69" t="e">
        <f>#REF!</f>
        <v>#REF!</v>
      </c>
      <c r="M10" s="69" t="e">
        <f>#REF!</f>
        <v>#REF!</v>
      </c>
      <c r="N10" s="69" t="e">
        <f t="shared" si="4"/>
        <v>#REF!</v>
      </c>
      <c r="Q10" s="142">
        <f>'Band Calculations'!V14</f>
        <v>130</v>
      </c>
      <c r="S10" s="151">
        <f t="shared" si="5"/>
        <v>11299.609239861658</v>
      </c>
      <c r="T10" s="151">
        <f t="shared" si="6"/>
        <v>1300000</v>
      </c>
      <c r="U10" s="151">
        <f t="shared" si="7"/>
        <v>1299.6092398616584</v>
      </c>
      <c r="V10" s="284" t="e">
        <f>#REF!</f>
        <v>#REF!</v>
      </c>
      <c r="W10" s="69" t="e">
        <f t="shared" si="23"/>
        <v>#REF!</v>
      </c>
      <c r="X10" s="69" t="e">
        <f t="shared" si="8"/>
        <v>#REF!</v>
      </c>
      <c r="Y10" s="69" t="e">
        <f t="shared" si="9"/>
        <v>#REF!</v>
      </c>
      <c r="Z10" s="69" t="e">
        <f t="shared" si="10"/>
        <v>#REF!</v>
      </c>
      <c r="AA10" s="215">
        <f>'Band Calculations'!I14</f>
        <v>130</v>
      </c>
      <c r="AB10" s="69">
        <f t="shared" si="11"/>
        <v>541666.66666666674</v>
      </c>
      <c r="AC10" s="69" t="e">
        <f t="shared" si="12"/>
        <v>#REF!</v>
      </c>
      <c r="AD10" s="215">
        <f>'Band Calculations'!O14</f>
        <v>130</v>
      </c>
      <c r="AE10" s="69">
        <f t="shared" si="13"/>
        <v>758333.33333333337</v>
      </c>
      <c r="AF10" s="69" t="e">
        <f t="shared" si="14"/>
        <v>#REF!</v>
      </c>
      <c r="AG10" s="173" t="e">
        <f t="shared" si="15"/>
        <v>#REF!</v>
      </c>
      <c r="AH10" s="215">
        <f>'Band Calculations'!J14</f>
        <v>0</v>
      </c>
      <c r="AI10" s="69">
        <f t="shared" si="16"/>
        <v>0</v>
      </c>
      <c r="AJ10" s="69" t="e">
        <f t="shared" si="17"/>
        <v>#REF!</v>
      </c>
      <c r="AK10" s="215">
        <f>'Band Calculations'!P14</f>
        <v>0</v>
      </c>
      <c r="AL10" s="69">
        <f t="shared" si="18"/>
        <v>0</v>
      </c>
      <c r="AM10" s="69" t="e">
        <f t="shared" si="19"/>
        <v>#REF!</v>
      </c>
      <c r="AN10" s="69">
        <f t="shared" si="20"/>
        <v>0</v>
      </c>
      <c r="AO10" s="69" t="e">
        <f t="shared" si="21"/>
        <v>#REF!</v>
      </c>
      <c r="AP10" s="69">
        <f t="shared" si="1"/>
        <v>1300000</v>
      </c>
      <c r="AQ10" s="69" t="e">
        <f t="shared" si="2"/>
        <v>#REF!</v>
      </c>
      <c r="AR10" s="69" t="e">
        <f t="shared" si="22"/>
        <v>#REF!</v>
      </c>
      <c r="AS10" s="41"/>
      <c r="AT10" s="69" t="e">
        <f t="shared" si="3"/>
        <v>#REF!</v>
      </c>
    </row>
    <row r="11" spans="1:46" x14ac:dyDescent="0.2">
      <c r="A11" s="241">
        <v>9257009</v>
      </c>
      <c r="B11" s="42" t="s">
        <v>76</v>
      </c>
      <c r="C11" s="43">
        <v>5</v>
      </c>
      <c r="D11" s="176">
        <v>418723</v>
      </c>
      <c r="E11" s="176">
        <v>117027</v>
      </c>
      <c r="F11" s="69"/>
      <c r="G11" s="69"/>
      <c r="H11" s="69">
        <f>'Band Calculations'!U15</f>
        <v>998240.72223642375</v>
      </c>
      <c r="I11" s="100">
        <v>19199.5</v>
      </c>
      <c r="J11" s="100">
        <v>876.23139186667242</v>
      </c>
      <c r="K11" s="69">
        <f t="shared" si="0"/>
        <v>1554066.4536282904</v>
      </c>
      <c r="L11" s="69" t="e">
        <f>#REF!</f>
        <v>#REF!</v>
      </c>
      <c r="M11" s="69" t="e">
        <f>#REF!</f>
        <v>#REF!</v>
      </c>
      <c r="N11" s="69" t="e">
        <f t="shared" si="4"/>
        <v>#REF!</v>
      </c>
      <c r="Q11" s="142">
        <f>'Band Calculations'!V15</f>
        <v>131</v>
      </c>
      <c r="S11" s="151">
        <f t="shared" si="5"/>
        <v>11863.102699452598</v>
      </c>
      <c r="T11" s="151">
        <f t="shared" si="6"/>
        <v>1310000</v>
      </c>
      <c r="U11" s="151">
        <f t="shared" si="7"/>
        <v>1863.1026994525982</v>
      </c>
      <c r="V11" s="69" t="e">
        <f>#REF!</f>
        <v>#REF!</v>
      </c>
      <c r="W11" s="69" t="e">
        <f t="shared" si="23"/>
        <v>#REF!</v>
      </c>
      <c r="X11" s="69" t="e">
        <f t="shared" si="8"/>
        <v>#REF!</v>
      </c>
      <c r="Y11" s="69" t="e">
        <f t="shared" si="9"/>
        <v>#REF!</v>
      </c>
      <c r="Z11" s="69" t="e">
        <f t="shared" si="10"/>
        <v>#REF!</v>
      </c>
      <c r="AA11" s="215">
        <f>'Band Calculations'!I15</f>
        <v>131</v>
      </c>
      <c r="AB11" s="69">
        <f t="shared" si="11"/>
        <v>545833.33333333337</v>
      </c>
      <c r="AC11" s="69" t="e">
        <f t="shared" si="12"/>
        <v>#REF!</v>
      </c>
      <c r="AD11" s="215">
        <f>'Band Calculations'!O15</f>
        <v>131</v>
      </c>
      <c r="AE11" s="69">
        <f t="shared" si="13"/>
        <v>764166.66666666674</v>
      </c>
      <c r="AF11" s="69" t="e">
        <f t="shared" si="14"/>
        <v>#REF!</v>
      </c>
      <c r="AG11" s="173" t="e">
        <f t="shared" si="15"/>
        <v>#REF!</v>
      </c>
      <c r="AH11" s="215">
        <f>'Band Calculations'!J15</f>
        <v>0</v>
      </c>
      <c r="AI11" s="69">
        <f t="shared" si="16"/>
        <v>0</v>
      </c>
      <c r="AJ11" s="69" t="e">
        <f t="shared" si="17"/>
        <v>#REF!</v>
      </c>
      <c r="AK11" s="215">
        <f>'Band Calculations'!P15</f>
        <v>0</v>
      </c>
      <c r="AL11" s="69">
        <f t="shared" si="18"/>
        <v>0</v>
      </c>
      <c r="AM11" s="69" t="e">
        <f t="shared" si="19"/>
        <v>#REF!</v>
      </c>
      <c r="AN11" s="69">
        <f t="shared" si="20"/>
        <v>0</v>
      </c>
      <c r="AO11" s="69" t="e">
        <f t="shared" si="21"/>
        <v>#REF!</v>
      </c>
      <c r="AP11" s="69">
        <f t="shared" si="1"/>
        <v>1310000</v>
      </c>
      <c r="AQ11" s="69" t="e">
        <f t="shared" si="2"/>
        <v>#REF!</v>
      </c>
      <c r="AR11" s="69" t="e">
        <f t="shared" si="22"/>
        <v>#REF!</v>
      </c>
      <c r="AS11" s="41"/>
      <c r="AT11" s="69" t="e">
        <f t="shared" si="3"/>
        <v>#REF!</v>
      </c>
    </row>
    <row r="12" spans="1:46" x14ac:dyDescent="0.2">
      <c r="A12" s="241">
        <v>9257028</v>
      </c>
      <c r="B12" s="42" t="s">
        <v>77</v>
      </c>
      <c r="C12" s="43">
        <v>5</v>
      </c>
      <c r="D12" s="176">
        <v>418723</v>
      </c>
      <c r="E12" s="176">
        <v>117027</v>
      </c>
      <c r="F12" s="69"/>
      <c r="G12" s="69"/>
      <c r="H12" s="69">
        <f>'Band Calculations'!U19</f>
        <v>772394.9035265795</v>
      </c>
      <c r="I12" s="100">
        <v>9823</v>
      </c>
      <c r="J12" s="100">
        <v>705.22818020051216</v>
      </c>
      <c r="K12" s="69">
        <f t="shared" si="0"/>
        <v>1318673.1317067801</v>
      </c>
      <c r="L12" s="69" t="e">
        <f>#REF!</f>
        <v>#REF!</v>
      </c>
      <c r="M12" s="69" t="e">
        <f>#REF!</f>
        <v>#REF!</v>
      </c>
      <c r="N12" s="69" t="e">
        <f t="shared" si="4"/>
        <v>#REF!</v>
      </c>
      <c r="Q12" s="142">
        <f>'Band Calculations'!V19</f>
        <v>73</v>
      </c>
      <c r="S12" s="151">
        <f t="shared" si="5"/>
        <v>18064.015502832604</v>
      </c>
      <c r="T12" s="151">
        <f t="shared" si="6"/>
        <v>730000</v>
      </c>
      <c r="U12" s="151">
        <f t="shared" si="7"/>
        <v>8064.0155028326044</v>
      </c>
      <c r="V12" s="69" t="e">
        <f>#REF!</f>
        <v>#REF!</v>
      </c>
      <c r="W12" s="69" t="e">
        <f t="shared" si="23"/>
        <v>#REF!</v>
      </c>
      <c r="X12" s="69" t="e">
        <f t="shared" si="8"/>
        <v>#REF!</v>
      </c>
      <c r="Y12" s="69" t="e">
        <f t="shared" si="9"/>
        <v>#REF!</v>
      </c>
      <c r="Z12" s="69" t="e">
        <f t="shared" si="10"/>
        <v>#REF!</v>
      </c>
      <c r="AA12" s="215">
        <f>'Band Calculations'!I19</f>
        <v>59</v>
      </c>
      <c r="AB12" s="69">
        <f t="shared" si="11"/>
        <v>245833.33333333334</v>
      </c>
      <c r="AC12" s="69" t="e">
        <f t="shared" si="12"/>
        <v>#REF!</v>
      </c>
      <c r="AD12" s="215">
        <f>'Band Calculations'!O19</f>
        <v>56</v>
      </c>
      <c r="AE12" s="69">
        <f t="shared" si="13"/>
        <v>326666.66666666669</v>
      </c>
      <c r="AF12" s="69" t="e">
        <f t="shared" si="14"/>
        <v>#REF!</v>
      </c>
      <c r="AG12" s="173" t="e">
        <f t="shared" si="15"/>
        <v>#REF!</v>
      </c>
      <c r="AH12" s="215">
        <f>'Band Calculations'!J19</f>
        <v>14</v>
      </c>
      <c r="AI12" s="69">
        <f t="shared" si="16"/>
        <v>58333.333333333336</v>
      </c>
      <c r="AJ12" s="69" t="e">
        <f t="shared" si="17"/>
        <v>#REF!</v>
      </c>
      <c r="AK12" s="215">
        <f>'Band Calculations'!P19</f>
        <v>17</v>
      </c>
      <c r="AL12" s="69">
        <f t="shared" si="18"/>
        <v>99166.666666666672</v>
      </c>
      <c r="AM12" s="69" t="e">
        <f t="shared" si="19"/>
        <v>#REF!</v>
      </c>
      <c r="AN12" s="69">
        <f t="shared" si="20"/>
        <v>157500</v>
      </c>
      <c r="AO12" s="69" t="e">
        <f t="shared" si="21"/>
        <v>#REF!</v>
      </c>
      <c r="AP12" s="69">
        <f t="shared" si="1"/>
        <v>730000</v>
      </c>
      <c r="AQ12" s="69" t="e">
        <f t="shared" si="2"/>
        <v>#REF!</v>
      </c>
      <c r="AR12" s="69" t="e">
        <f t="shared" si="22"/>
        <v>#REF!</v>
      </c>
      <c r="AS12" s="41"/>
      <c r="AT12" s="69" t="e">
        <f t="shared" si="3"/>
        <v>#REF!</v>
      </c>
    </row>
    <row r="13" spans="1:46" x14ac:dyDescent="0.2">
      <c r="A13" s="241">
        <v>9257021</v>
      </c>
      <c r="B13" s="42" t="s">
        <v>78</v>
      </c>
      <c r="C13" s="43">
        <v>5</v>
      </c>
      <c r="D13" s="100">
        <f>'Funding Model'!$D$24</f>
        <v>418723.18610831723</v>
      </c>
      <c r="E13" s="100">
        <f>'Funding Model'!$E$24</f>
        <v>117027.3922528728</v>
      </c>
      <c r="F13" s="69"/>
      <c r="G13" s="69"/>
      <c r="H13" s="69">
        <f>'Band Calculations'!U20</f>
        <v>1057721.8869930455</v>
      </c>
      <c r="I13" s="100">
        <v>23664.5</v>
      </c>
      <c r="J13" s="100">
        <v>908.66303545853043</v>
      </c>
      <c r="K13" s="69">
        <f t="shared" si="0"/>
        <v>1618045.6283896938</v>
      </c>
      <c r="L13" s="69" t="e">
        <f>#REF!</f>
        <v>#REF!</v>
      </c>
      <c r="M13" s="69" t="e">
        <f>#REF!</f>
        <v>#REF!</v>
      </c>
      <c r="N13" s="69" t="e">
        <f t="shared" si="4"/>
        <v>#REF!</v>
      </c>
      <c r="Q13" s="142">
        <f>'Band Calculations'!V20</f>
        <v>142</v>
      </c>
      <c r="S13" s="151">
        <f t="shared" si="5"/>
        <v>11394.687523871084</v>
      </c>
      <c r="T13" s="151">
        <f t="shared" si="6"/>
        <v>1420000</v>
      </c>
      <c r="U13" s="151">
        <f t="shared" si="7"/>
        <v>1394.6875238710836</v>
      </c>
      <c r="V13" s="69" t="e">
        <f>#REF!</f>
        <v>#REF!</v>
      </c>
      <c r="W13" s="69" t="e">
        <f t="shared" si="23"/>
        <v>#REF!</v>
      </c>
      <c r="X13" s="69" t="e">
        <f t="shared" si="8"/>
        <v>#REF!</v>
      </c>
      <c r="Y13" s="69" t="e">
        <f t="shared" si="9"/>
        <v>#REF!</v>
      </c>
      <c r="Z13" s="69" t="e">
        <f t="shared" si="10"/>
        <v>#REF!</v>
      </c>
      <c r="AA13" s="215">
        <f>'Band Calculations'!I20</f>
        <v>142</v>
      </c>
      <c r="AB13" s="69">
        <f t="shared" si="11"/>
        <v>591666.66666666674</v>
      </c>
      <c r="AC13" s="69" t="e">
        <f t="shared" si="12"/>
        <v>#REF!</v>
      </c>
      <c r="AD13" s="215">
        <f>'Band Calculations'!O20</f>
        <v>142</v>
      </c>
      <c r="AE13" s="69">
        <f t="shared" si="13"/>
        <v>828333.33333333337</v>
      </c>
      <c r="AF13" s="69" t="e">
        <f t="shared" si="14"/>
        <v>#REF!</v>
      </c>
      <c r="AG13" s="173" t="e">
        <f t="shared" si="15"/>
        <v>#REF!</v>
      </c>
      <c r="AH13" s="215">
        <f>'Band Calculations'!J20</f>
        <v>0</v>
      </c>
      <c r="AI13" s="69">
        <f t="shared" si="16"/>
        <v>0</v>
      </c>
      <c r="AJ13" s="69" t="e">
        <f t="shared" si="17"/>
        <v>#REF!</v>
      </c>
      <c r="AK13" s="215">
        <f>'Band Calculations'!P20</f>
        <v>0</v>
      </c>
      <c r="AL13" s="69">
        <f t="shared" si="18"/>
        <v>0</v>
      </c>
      <c r="AM13" s="69" t="e">
        <f t="shared" si="19"/>
        <v>#REF!</v>
      </c>
      <c r="AN13" s="69">
        <f t="shared" si="20"/>
        <v>0</v>
      </c>
      <c r="AO13" s="69" t="e">
        <f t="shared" si="21"/>
        <v>#REF!</v>
      </c>
      <c r="AP13" s="69">
        <f t="shared" si="1"/>
        <v>1420000</v>
      </c>
      <c r="AQ13" s="69" t="e">
        <f t="shared" si="2"/>
        <v>#REF!</v>
      </c>
      <c r="AR13" s="69" t="e">
        <f t="shared" si="22"/>
        <v>#REF!</v>
      </c>
      <c r="AS13" s="41"/>
      <c r="AT13" s="69" t="e">
        <f t="shared" si="3"/>
        <v>#REF!</v>
      </c>
    </row>
    <row r="14" spans="1:46" x14ac:dyDescent="0.2">
      <c r="A14" s="241">
        <v>9257015</v>
      </c>
      <c r="B14" s="42" t="s">
        <v>57</v>
      </c>
      <c r="C14" s="43">
        <v>5</v>
      </c>
      <c r="D14" s="100">
        <f>'Funding Model'!$D$24</f>
        <v>418723.18610831723</v>
      </c>
      <c r="E14" s="100">
        <f>'Funding Model'!$E$24</f>
        <v>117027.3922528728</v>
      </c>
      <c r="F14" s="69"/>
      <c r="G14" s="69">
        <f>(7/12)*29207</f>
        <v>17037.416666666668</v>
      </c>
      <c r="H14" s="69">
        <f>'Band Calculations'!U21</f>
        <v>1707600.4078561282</v>
      </c>
      <c r="I14" s="100">
        <v>33934</v>
      </c>
      <c r="J14" s="100">
        <v>1056.0795972397032</v>
      </c>
      <c r="K14" s="69">
        <f t="shared" si="0"/>
        <v>2295378.4824812249</v>
      </c>
      <c r="L14" s="69" t="e">
        <f>#REF!</f>
        <v>#REF!</v>
      </c>
      <c r="M14" s="69" t="e">
        <f>#REF!</f>
        <v>#REF!</v>
      </c>
      <c r="N14" s="69" t="e">
        <f t="shared" si="4"/>
        <v>#REF!</v>
      </c>
      <c r="Q14" s="142">
        <f>'Band Calculations'!V21</f>
        <v>230.83333333333337</v>
      </c>
      <c r="S14" s="151">
        <f t="shared" si="5"/>
        <v>9943.8779024457381</v>
      </c>
      <c r="T14" s="151">
        <f t="shared" si="6"/>
        <v>2308333.3333333335</v>
      </c>
      <c r="U14" s="151">
        <f t="shared" si="7"/>
        <v>-56.122097554261927</v>
      </c>
      <c r="V14" s="284" t="e">
        <f>#REF!</f>
        <v>#REF!</v>
      </c>
      <c r="W14" s="69" t="e">
        <f t="shared" si="23"/>
        <v>#REF!</v>
      </c>
      <c r="X14" s="69" t="e">
        <f t="shared" si="8"/>
        <v>#REF!</v>
      </c>
      <c r="Y14" s="69" t="e">
        <f>(W14-U14)*Q14</f>
        <v>#REF!</v>
      </c>
      <c r="Z14" s="69" t="e">
        <f t="shared" si="10"/>
        <v>#REF!</v>
      </c>
      <c r="AA14" s="215">
        <f>'Band Calculations'!I21</f>
        <v>211</v>
      </c>
      <c r="AB14" s="69">
        <f t="shared" si="11"/>
        <v>879166.66666666674</v>
      </c>
      <c r="AC14" s="69" t="e">
        <f t="shared" si="12"/>
        <v>#REF!</v>
      </c>
      <c r="AD14" s="215">
        <f>'Band Calculations'!O21</f>
        <v>228</v>
      </c>
      <c r="AE14" s="69">
        <f t="shared" si="13"/>
        <v>1330000</v>
      </c>
      <c r="AF14" s="69" t="e">
        <f t="shared" si="14"/>
        <v>#REF!</v>
      </c>
      <c r="AG14" s="173" t="e">
        <f t="shared" si="15"/>
        <v>#REF!</v>
      </c>
      <c r="AH14" s="215">
        <f>'Band Calculations'!J21</f>
        <v>0</v>
      </c>
      <c r="AI14" s="69">
        <f t="shared" si="16"/>
        <v>0</v>
      </c>
      <c r="AJ14" s="69" t="e">
        <f t="shared" si="17"/>
        <v>#REF!</v>
      </c>
      <c r="AK14" s="215">
        <f>'Band Calculations'!P21</f>
        <v>17</v>
      </c>
      <c r="AL14" s="69">
        <f t="shared" si="18"/>
        <v>99166.666666666672</v>
      </c>
      <c r="AM14" s="69" t="e">
        <f t="shared" si="19"/>
        <v>#REF!</v>
      </c>
      <c r="AN14" s="69">
        <f t="shared" si="20"/>
        <v>99166.666666666672</v>
      </c>
      <c r="AO14" s="69" t="e">
        <f t="shared" si="21"/>
        <v>#REF!</v>
      </c>
      <c r="AP14" s="69">
        <f t="shared" si="1"/>
        <v>2308333.3333333335</v>
      </c>
      <c r="AQ14" s="69" t="e">
        <f t="shared" si="2"/>
        <v>#REF!</v>
      </c>
      <c r="AR14" s="100" t="e">
        <f t="shared" si="22"/>
        <v>#REF!</v>
      </c>
      <c r="AS14" s="41"/>
      <c r="AT14" s="69" t="e">
        <f t="shared" si="3"/>
        <v>#REF!</v>
      </c>
    </row>
    <row r="15" spans="1:46" x14ac:dyDescent="0.2">
      <c r="A15" s="241">
        <v>9257017</v>
      </c>
      <c r="B15" s="203" t="s">
        <v>79</v>
      </c>
      <c r="C15" s="204">
        <v>5</v>
      </c>
      <c r="D15" s="205">
        <f>(5/12)*'Funding Model'!$D$24</f>
        <v>174467.99421179885</v>
      </c>
      <c r="E15" s="205">
        <f>(5/12)*'Funding Model'!$E$24</f>
        <v>48761.413438697004</v>
      </c>
      <c r="F15" s="205"/>
      <c r="G15" s="205">
        <f>(5/12)*29207</f>
        <v>12169.583333333334</v>
      </c>
      <c r="H15" s="205">
        <f>'Band Calculations'!U22</f>
        <v>147253.4775666777</v>
      </c>
      <c r="I15" s="205">
        <f>(5/12)*7144</f>
        <v>2976.666666666667</v>
      </c>
      <c r="J15" s="205">
        <v>690.48652402239486</v>
      </c>
      <c r="K15" s="205">
        <f t="shared" si="0"/>
        <v>386319.62174119597</v>
      </c>
      <c r="L15" s="69" t="e">
        <f>#REF!</f>
        <v>#REF!</v>
      </c>
      <c r="M15" s="69" t="e">
        <f>#REF!</f>
        <v>#REF!</v>
      </c>
      <c r="N15" s="69" t="e">
        <f t="shared" si="4"/>
        <v>#REF!</v>
      </c>
      <c r="Q15" s="206">
        <f>'Band Calculations'!V22</f>
        <v>15.416666666666668</v>
      </c>
      <c r="S15" s="151">
        <f t="shared" si="5"/>
        <v>25058.570058888385</v>
      </c>
      <c r="T15" s="151">
        <f t="shared" si="6"/>
        <v>154166.66666666669</v>
      </c>
      <c r="U15" s="151">
        <f t="shared" si="7"/>
        <v>15058.570058888385</v>
      </c>
      <c r="V15" s="69" t="e">
        <f>#REF!</f>
        <v>#REF!</v>
      </c>
      <c r="W15" s="69" t="e">
        <f t="shared" si="23"/>
        <v>#REF!</v>
      </c>
      <c r="X15" s="69" t="e">
        <f t="shared" si="8"/>
        <v>#REF!</v>
      </c>
      <c r="Y15" s="69" t="e">
        <f t="shared" si="9"/>
        <v>#REF!</v>
      </c>
      <c r="Z15" s="69" t="e">
        <f t="shared" si="10"/>
        <v>#REF!</v>
      </c>
      <c r="AA15" s="215">
        <f>'Band Calculations'!I22</f>
        <v>25</v>
      </c>
      <c r="AB15" s="69">
        <f t="shared" si="11"/>
        <v>104166.66666666667</v>
      </c>
      <c r="AC15" s="69" t="e">
        <f t="shared" si="12"/>
        <v>#REF!</v>
      </c>
      <c r="AD15" s="215">
        <f>'Band Calculations'!O22</f>
        <v>0</v>
      </c>
      <c r="AE15" s="69">
        <f t="shared" si="13"/>
        <v>0</v>
      </c>
      <c r="AF15" s="69" t="e">
        <f t="shared" si="14"/>
        <v>#REF!</v>
      </c>
      <c r="AG15" s="173" t="e">
        <f t="shared" si="15"/>
        <v>#REF!</v>
      </c>
      <c r="AH15" s="215">
        <f>'Band Calculations'!J22</f>
        <v>12</v>
      </c>
      <c r="AI15" s="69">
        <f t="shared" si="16"/>
        <v>50000</v>
      </c>
      <c r="AJ15" s="69" t="e">
        <f t="shared" si="17"/>
        <v>#REF!</v>
      </c>
      <c r="AK15" s="215">
        <f>'Band Calculations'!P22</f>
        <v>0</v>
      </c>
      <c r="AL15" s="69">
        <f t="shared" si="18"/>
        <v>0</v>
      </c>
      <c r="AM15" s="69" t="e">
        <f t="shared" si="19"/>
        <v>#REF!</v>
      </c>
      <c r="AN15" s="69">
        <f t="shared" si="20"/>
        <v>50000</v>
      </c>
      <c r="AO15" s="69" t="e">
        <f t="shared" si="21"/>
        <v>#REF!</v>
      </c>
      <c r="AP15" s="69">
        <f t="shared" si="1"/>
        <v>154166.66666666669</v>
      </c>
      <c r="AQ15" s="69" t="e">
        <f t="shared" si="2"/>
        <v>#REF!</v>
      </c>
      <c r="AR15" s="100" t="e">
        <f t="shared" si="22"/>
        <v>#REF!</v>
      </c>
      <c r="AS15" s="41"/>
      <c r="AT15" s="69" t="e">
        <f t="shared" si="3"/>
        <v>#REF!</v>
      </c>
    </row>
    <row r="16" spans="1:46" x14ac:dyDescent="0.2">
      <c r="A16" s="241">
        <v>9257016</v>
      </c>
      <c r="B16" s="42" t="s">
        <v>80</v>
      </c>
      <c r="C16" s="43">
        <v>6</v>
      </c>
      <c r="D16" s="100">
        <f>'Funding Model'!D25</f>
        <v>493762.11190507573</v>
      </c>
      <c r="E16" s="100">
        <f>'Funding Model'!E25</f>
        <v>131719.7894229154</v>
      </c>
      <c r="F16" s="69"/>
      <c r="G16" s="69"/>
      <c r="H16" s="69">
        <f>'Band Calculations'!U23</f>
        <v>1449833.142735743</v>
      </c>
      <c r="I16" s="100">
        <v>12055.5</v>
      </c>
      <c r="J16" s="100">
        <v>832.00642333232065</v>
      </c>
      <c r="K16" s="69">
        <f t="shared" si="0"/>
        <v>2088202.5504870664</v>
      </c>
      <c r="L16" s="69" t="e">
        <f>#REF!</f>
        <v>#REF!</v>
      </c>
      <c r="M16" s="69" t="e">
        <f>#REF!-#REF!</f>
        <v>#REF!</v>
      </c>
      <c r="N16" s="69" t="e">
        <f t="shared" si="4"/>
        <v>#REF!</v>
      </c>
      <c r="Q16" s="142">
        <f>'Band Calculations'!V23</f>
        <v>129</v>
      </c>
      <c r="S16" s="151">
        <f t="shared" si="5"/>
        <v>16187.616670442376</v>
      </c>
      <c r="T16" s="151">
        <f t="shared" si="6"/>
        <v>1290000</v>
      </c>
      <c r="U16" s="151">
        <f t="shared" si="7"/>
        <v>6187.6166704423758</v>
      </c>
      <c r="V16" s="284" t="e">
        <f>#REF!</f>
        <v>#REF!</v>
      </c>
      <c r="W16" s="69" t="e">
        <f t="shared" si="23"/>
        <v>#REF!</v>
      </c>
      <c r="X16" s="69" t="e">
        <f t="shared" si="8"/>
        <v>#REF!</v>
      </c>
      <c r="Y16" s="69" t="e">
        <f>(W16-U16)*Q16</f>
        <v>#REF!</v>
      </c>
      <c r="Z16" s="69" t="e">
        <f t="shared" si="10"/>
        <v>#REF!</v>
      </c>
      <c r="AA16" s="215">
        <f>'Band Calculations'!I23</f>
        <v>83</v>
      </c>
      <c r="AB16" s="69">
        <f t="shared" si="11"/>
        <v>345833.33333333337</v>
      </c>
      <c r="AC16" s="69" t="e">
        <f t="shared" si="12"/>
        <v>#REF!</v>
      </c>
      <c r="AD16" s="215">
        <f>'Band Calculations'!O23</f>
        <v>79</v>
      </c>
      <c r="AE16" s="69">
        <f t="shared" si="13"/>
        <v>460833.33333333337</v>
      </c>
      <c r="AF16" s="69" t="e">
        <f t="shared" si="14"/>
        <v>#REF!</v>
      </c>
      <c r="AG16" s="173" t="e">
        <f t="shared" si="15"/>
        <v>#REF!</v>
      </c>
      <c r="AH16" s="215">
        <f>'Band Calculations'!J23</f>
        <v>46</v>
      </c>
      <c r="AI16" s="69">
        <f t="shared" si="16"/>
        <v>191666.66666666669</v>
      </c>
      <c r="AJ16" s="69" t="e">
        <f t="shared" si="17"/>
        <v>#REF!</v>
      </c>
      <c r="AK16" s="215">
        <f>'Band Calculations'!P23</f>
        <v>50</v>
      </c>
      <c r="AL16" s="69">
        <f t="shared" si="18"/>
        <v>291666.66666666669</v>
      </c>
      <c r="AM16" s="69" t="e">
        <f t="shared" si="19"/>
        <v>#REF!</v>
      </c>
      <c r="AN16" s="69">
        <f t="shared" si="20"/>
        <v>483333.33333333337</v>
      </c>
      <c r="AO16" s="69" t="e">
        <f t="shared" si="21"/>
        <v>#REF!</v>
      </c>
      <c r="AP16" s="69">
        <f t="shared" si="1"/>
        <v>1290000</v>
      </c>
      <c r="AQ16" s="69" t="e">
        <f t="shared" si="2"/>
        <v>#REF!</v>
      </c>
      <c r="AR16" s="100" t="e">
        <f t="shared" si="22"/>
        <v>#REF!</v>
      </c>
      <c r="AS16" s="41"/>
      <c r="AT16" s="69" t="e">
        <f t="shared" si="3"/>
        <v>#REF!</v>
      </c>
    </row>
    <row r="17" spans="1:46" ht="25.5" x14ac:dyDescent="0.2">
      <c r="A17" s="241"/>
      <c r="B17" s="42"/>
      <c r="C17" s="43"/>
      <c r="D17" s="69"/>
      <c r="E17" s="69"/>
      <c r="F17" s="69"/>
      <c r="G17" s="69"/>
      <c r="H17" s="69"/>
      <c r="I17" s="100"/>
      <c r="J17" s="100"/>
      <c r="K17" s="69"/>
      <c r="L17" s="69"/>
      <c r="M17" s="76"/>
      <c r="N17" s="76"/>
      <c r="O17" s="70" t="s">
        <v>106</v>
      </c>
      <c r="P17" s="94" t="s">
        <v>107</v>
      </c>
      <c r="Q17" s="41"/>
      <c r="S17" s="151"/>
      <c r="T17" s="151"/>
      <c r="U17" s="151"/>
      <c r="V17" s="69"/>
      <c r="W17" s="69"/>
      <c r="X17" s="69"/>
      <c r="Y17" s="69"/>
      <c r="Z17" s="69"/>
      <c r="AA17" s="41"/>
      <c r="AB17" s="69"/>
      <c r="AC17" s="69"/>
      <c r="AD17" s="41"/>
      <c r="AE17" s="69"/>
      <c r="AF17" s="69"/>
      <c r="AG17" s="173"/>
      <c r="AH17" s="41"/>
      <c r="AI17" s="69"/>
      <c r="AJ17" s="69"/>
      <c r="AK17" s="41"/>
      <c r="AL17" s="69"/>
      <c r="AM17" s="69"/>
      <c r="AN17" s="69"/>
      <c r="AO17" s="69"/>
      <c r="AP17" s="69"/>
      <c r="AQ17" s="69"/>
      <c r="AR17" s="69"/>
      <c r="AS17" s="41"/>
      <c r="AT17" s="69"/>
    </row>
    <row r="18" spans="1:46" x14ac:dyDescent="0.2">
      <c r="A18" s="241">
        <v>9257031</v>
      </c>
      <c r="B18" s="47" t="s">
        <v>81</v>
      </c>
      <c r="C18" s="43">
        <v>3</v>
      </c>
      <c r="D18" s="100">
        <f>'Funding Model'!D26</f>
        <v>280697.16623783787</v>
      </c>
      <c r="E18" s="100">
        <f>'Funding Model'!E26</f>
        <v>55663.058379368813</v>
      </c>
      <c r="F18" s="69" t="e">
        <f>#REF!</f>
        <v>#REF!</v>
      </c>
      <c r="G18" s="69"/>
      <c r="H18" s="69">
        <f>'Band Calculations'!U10</f>
        <v>873951.18016309384</v>
      </c>
      <c r="I18" s="100">
        <v>10716</v>
      </c>
      <c r="J18" s="100">
        <v>669.84820537303062</v>
      </c>
      <c r="K18" s="69" t="e">
        <f>SUM(D18:J18)</f>
        <v>#REF!</v>
      </c>
      <c r="L18" s="69" t="e">
        <f>#REF!</f>
        <v>#REF!</v>
      </c>
      <c r="M18" s="69" t="e">
        <f>#REF!</f>
        <v>#REF!</v>
      </c>
      <c r="N18" s="69" t="e">
        <f>K18-L18-M18</f>
        <v>#REF!</v>
      </c>
      <c r="O18" s="69" t="e">
        <f>#REF!</f>
        <v>#REF!</v>
      </c>
      <c r="P18" s="69" t="e">
        <f>N18+O18</f>
        <v>#REF!</v>
      </c>
      <c r="Q18" s="142">
        <f>'Band Calculations'!V10</f>
        <v>61</v>
      </c>
      <c r="S18" s="151" t="e">
        <f t="shared" si="5"/>
        <v>#REF!</v>
      </c>
      <c r="T18" s="151">
        <f t="shared" si="6"/>
        <v>610000</v>
      </c>
      <c r="U18" s="151" t="e">
        <f t="shared" si="7"/>
        <v>#REF!</v>
      </c>
      <c r="V18" s="284" t="e">
        <f>#REF!</f>
        <v>#REF!</v>
      </c>
      <c r="W18" s="69" t="e">
        <f t="shared" si="23"/>
        <v>#REF!</v>
      </c>
      <c r="X18" s="69" t="e">
        <f t="shared" si="8"/>
        <v>#REF!</v>
      </c>
      <c r="Y18" s="69" t="e">
        <f t="shared" ref="Y18:Y24" si="24">(W18-U18)*Q18</f>
        <v>#REF!</v>
      </c>
      <c r="Z18" s="69" t="e">
        <f t="shared" si="10"/>
        <v>#REF!</v>
      </c>
      <c r="AA18" s="215">
        <f>'Band Calculations'!I10</f>
        <v>61</v>
      </c>
      <c r="AB18" s="69">
        <f t="shared" si="11"/>
        <v>254166.66666666669</v>
      </c>
      <c r="AC18" s="69" t="e">
        <f t="shared" si="12"/>
        <v>#REF!</v>
      </c>
      <c r="AD18" s="215">
        <f>'Band Calculations'!O10</f>
        <v>61</v>
      </c>
      <c r="AE18" s="69">
        <f t="shared" si="13"/>
        <v>355833.33333333337</v>
      </c>
      <c r="AF18" s="69" t="e">
        <f t="shared" si="14"/>
        <v>#REF!</v>
      </c>
      <c r="AG18" s="173" t="e">
        <f t="shared" si="15"/>
        <v>#REF!</v>
      </c>
      <c r="AH18" s="215">
        <f>'Band Calculations'!J10</f>
        <v>0</v>
      </c>
      <c r="AI18" s="69">
        <f t="shared" si="16"/>
        <v>0</v>
      </c>
      <c r="AJ18" s="69" t="e">
        <f t="shared" si="17"/>
        <v>#REF!</v>
      </c>
      <c r="AK18" s="215">
        <f>'Band Calculations'!P10</f>
        <v>0</v>
      </c>
      <c r="AL18" s="69">
        <f t="shared" si="18"/>
        <v>0</v>
      </c>
      <c r="AM18" s="69" t="e">
        <f t="shared" si="19"/>
        <v>#REF!</v>
      </c>
      <c r="AN18" s="69">
        <f t="shared" si="20"/>
        <v>0</v>
      </c>
      <c r="AO18" s="69" t="e">
        <f t="shared" si="21"/>
        <v>#REF!</v>
      </c>
      <c r="AP18" s="69">
        <f t="shared" ref="AP18:AQ21" si="25">AB18+AE18+AN18</f>
        <v>610000</v>
      </c>
      <c r="AQ18" s="69" t="e">
        <f t="shared" si="25"/>
        <v>#REF!</v>
      </c>
      <c r="AR18" s="69" t="e">
        <f t="shared" si="22"/>
        <v>#REF!</v>
      </c>
      <c r="AS18" s="41"/>
      <c r="AT18" s="69" t="e">
        <f>Z18-AR18</f>
        <v>#REF!</v>
      </c>
    </row>
    <row r="19" spans="1:46" x14ac:dyDescent="0.2">
      <c r="A19" s="241">
        <v>9257029</v>
      </c>
      <c r="B19" s="47" t="s">
        <v>84</v>
      </c>
      <c r="C19" s="43">
        <v>4</v>
      </c>
      <c r="D19" s="100">
        <f>'Funding Model'!$D$27</f>
        <v>360067.26321081078</v>
      </c>
      <c r="E19" s="100">
        <f>'Funding Model'!$E$27</f>
        <v>58044.118057617408</v>
      </c>
      <c r="F19" s="69" t="e">
        <f>#REF!</f>
        <v>#REF!</v>
      </c>
      <c r="G19" s="69"/>
      <c r="H19" s="69">
        <f>'Band Calculations'!U16</f>
        <v>888278.24869035766</v>
      </c>
      <c r="I19" s="100">
        <v>10269.5</v>
      </c>
      <c r="J19" s="100">
        <v>672.79653660865415</v>
      </c>
      <c r="K19" s="69" t="e">
        <f>SUM(D19:J19)</f>
        <v>#REF!</v>
      </c>
      <c r="L19" s="69" t="e">
        <f>#REF!</f>
        <v>#REF!</v>
      </c>
      <c r="M19" s="69" t="e">
        <f>#REF!</f>
        <v>#REF!</v>
      </c>
      <c r="N19" s="69" t="e">
        <f>K19-L19-M19</f>
        <v>#REF!</v>
      </c>
      <c r="O19" s="69" t="e">
        <f>#REF!</f>
        <v>#REF!</v>
      </c>
      <c r="P19" s="69" t="e">
        <f>N19+O19</f>
        <v>#REF!</v>
      </c>
      <c r="Q19" s="142">
        <f>'Band Calculations'!V16</f>
        <v>62.000000000000007</v>
      </c>
      <c r="S19" s="151" t="e">
        <f t="shared" si="5"/>
        <v>#REF!</v>
      </c>
      <c r="T19" s="151">
        <f t="shared" si="6"/>
        <v>620000.00000000012</v>
      </c>
      <c r="U19" s="151" t="e">
        <f t="shared" si="7"/>
        <v>#REF!</v>
      </c>
      <c r="V19" s="284" t="e">
        <f>#REF!</f>
        <v>#REF!</v>
      </c>
      <c r="W19" s="69" t="e">
        <f t="shared" si="23"/>
        <v>#REF!</v>
      </c>
      <c r="X19" s="69" t="e">
        <f t="shared" si="8"/>
        <v>#REF!</v>
      </c>
      <c r="Y19" s="69" t="e">
        <f t="shared" si="24"/>
        <v>#REF!</v>
      </c>
      <c r="Z19" s="69" t="e">
        <f t="shared" si="10"/>
        <v>#REF!</v>
      </c>
      <c r="AA19" s="215">
        <f>'Band Calculations'!I16</f>
        <v>62</v>
      </c>
      <c r="AB19" s="69">
        <f t="shared" si="11"/>
        <v>258333.33333333334</v>
      </c>
      <c r="AC19" s="69" t="e">
        <f t="shared" si="12"/>
        <v>#REF!</v>
      </c>
      <c r="AD19" s="215">
        <f>'Band Calculations'!O16</f>
        <v>62</v>
      </c>
      <c r="AE19" s="69">
        <f t="shared" si="13"/>
        <v>361666.66666666669</v>
      </c>
      <c r="AF19" s="69" t="e">
        <f t="shared" si="14"/>
        <v>#REF!</v>
      </c>
      <c r="AG19" s="173" t="e">
        <f t="shared" si="15"/>
        <v>#REF!</v>
      </c>
      <c r="AH19" s="215">
        <f>'Band Calculations'!J16</f>
        <v>0</v>
      </c>
      <c r="AI19" s="69">
        <f t="shared" si="16"/>
        <v>0</v>
      </c>
      <c r="AJ19" s="69" t="e">
        <f t="shared" si="17"/>
        <v>#REF!</v>
      </c>
      <c r="AK19" s="215">
        <f>'Band Calculations'!P16</f>
        <v>0</v>
      </c>
      <c r="AL19" s="69">
        <f t="shared" si="18"/>
        <v>0</v>
      </c>
      <c r="AM19" s="69" t="e">
        <f t="shared" si="19"/>
        <v>#REF!</v>
      </c>
      <c r="AN19" s="69">
        <f t="shared" si="20"/>
        <v>0</v>
      </c>
      <c r="AO19" s="69" t="e">
        <f t="shared" si="21"/>
        <v>#REF!</v>
      </c>
      <c r="AP19" s="69">
        <f t="shared" si="25"/>
        <v>620000</v>
      </c>
      <c r="AQ19" s="69" t="e">
        <f t="shared" si="25"/>
        <v>#REF!</v>
      </c>
      <c r="AR19" s="69" t="e">
        <f t="shared" si="22"/>
        <v>#REF!</v>
      </c>
      <c r="AS19" s="41"/>
      <c r="AT19" s="69" t="e">
        <f>Z19-AR19</f>
        <v>#REF!</v>
      </c>
    </row>
    <row r="20" spans="1:46" x14ac:dyDescent="0.2">
      <c r="A20" s="241">
        <v>9257032</v>
      </c>
      <c r="B20" s="47" t="s">
        <v>82</v>
      </c>
      <c r="C20" s="43">
        <v>5</v>
      </c>
      <c r="D20" s="100">
        <f>'Funding Model'!$D$27</f>
        <v>360067.26321081078</v>
      </c>
      <c r="E20" s="100">
        <f>'Funding Model'!$E$27</f>
        <v>58044.118057617408</v>
      </c>
      <c r="F20" s="69" t="e">
        <f>#REF!</f>
        <v>#REF!</v>
      </c>
      <c r="G20" s="69"/>
      <c r="H20" s="69">
        <f>'Band Calculations'!U17</f>
        <v>845297.04310856608</v>
      </c>
      <c r="I20" s="100">
        <v>12948.5</v>
      </c>
      <c r="J20" s="100">
        <v>663.9515429017838</v>
      </c>
      <c r="K20" s="69" t="e">
        <f>SUM(D20:J20)</f>
        <v>#REF!</v>
      </c>
      <c r="L20" s="69" t="e">
        <f>#REF!</f>
        <v>#REF!</v>
      </c>
      <c r="M20" s="69" t="e">
        <f>#REF!</f>
        <v>#REF!</v>
      </c>
      <c r="N20" s="69" t="e">
        <f>K20-L20-M20</f>
        <v>#REF!</v>
      </c>
      <c r="O20" s="69" t="e">
        <f>#REF!</f>
        <v>#REF!</v>
      </c>
      <c r="P20" s="69" t="e">
        <f>N20+O20</f>
        <v>#REF!</v>
      </c>
      <c r="Q20" s="142">
        <f>'Band Calculations'!V17</f>
        <v>59.000000000000007</v>
      </c>
      <c r="S20" s="151" t="e">
        <f t="shared" si="5"/>
        <v>#REF!</v>
      </c>
      <c r="T20" s="151">
        <f t="shared" si="6"/>
        <v>590000.00000000012</v>
      </c>
      <c r="U20" s="151" t="e">
        <f t="shared" si="7"/>
        <v>#REF!</v>
      </c>
      <c r="V20" s="284" t="e">
        <f>#REF!</f>
        <v>#REF!</v>
      </c>
      <c r="W20" s="69" t="e">
        <f t="shared" si="23"/>
        <v>#REF!</v>
      </c>
      <c r="X20" s="69" t="e">
        <f t="shared" si="8"/>
        <v>#REF!</v>
      </c>
      <c r="Y20" s="69" t="e">
        <f t="shared" si="24"/>
        <v>#REF!</v>
      </c>
      <c r="Z20" s="69" t="e">
        <f t="shared" si="10"/>
        <v>#REF!</v>
      </c>
      <c r="AA20" s="215">
        <f>'Band Calculations'!I17</f>
        <v>59</v>
      </c>
      <c r="AB20" s="69">
        <f t="shared" si="11"/>
        <v>245833.33333333334</v>
      </c>
      <c r="AC20" s="69" t="e">
        <f t="shared" si="12"/>
        <v>#REF!</v>
      </c>
      <c r="AD20" s="215">
        <f>'Band Calculations'!O17</f>
        <v>59</v>
      </c>
      <c r="AE20" s="69">
        <f t="shared" si="13"/>
        <v>344166.66666666669</v>
      </c>
      <c r="AF20" s="69" t="e">
        <f t="shared" si="14"/>
        <v>#REF!</v>
      </c>
      <c r="AG20" s="173" t="e">
        <f t="shared" si="15"/>
        <v>#REF!</v>
      </c>
      <c r="AH20" s="215">
        <f>'Band Calculations'!J17</f>
        <v>0</v>
      </c>
      <c r="AI20" s="69">
        <f t="shared" si="16"/>
        <v>0</v>
      </c>
      <c r="AJ20" s="69" t="e">
        <f t="shared" si="17"/>
        <v>#REF!</v>
      </c>
      <c r="AK20" s="215">
        <f>'Band Calculations'!P17</f>
        <v>0</v>
      </c>
      <c r="AL20" s="69">
        <f t="shared" si="18"/>
        <v>0</v>
      </c>
      <c r="AM20" s="69" t="e">
        <f t="shared" si="19"/>
        <v>#REF!</v>
      </c>
      <c r="AN20" s="69">
        <f t="shared" si="20"/>
        <v>0</v>
      </c>
      <c r="AO20" s="69" t="e">
        <f t="shared" si="21"/>
        <v>#REF!</v>
      </c>
      <c r="AP20" s="69">
        <f t="shared" si="25"/>
        <v>590000</v>
      </c>
      <c r="AQ20" s="69" t="e">
        <f t="shared" si="25"/>
        <v>#REF!</v>
      </c>
      <c r="AR20" s="69" t="e">
        <f t="shared" si="22"/>
        <v>#REF!</v>
      </c>
      <c r="AS20" s="41"/>
      <c r="AT20" s="69" t="e">
        <f>Z20-AR20</f>
        <v>#REF!</v>
      </c>
    </row>
    <row r="21" spans="1:46" x14ac:dyDescent="0.2">
      <c r="A21" s="241">
        <v>9257030</v>
      </c>
      <c r="B21" s="47" t="s">
        <v>83</v>
      </c>
      <c r="C21" s="43">
        <v>4</v>
      </c>
      <c r="D21" s="100">
        <f>'Funding Model'!$D$27</f>
        <v>360067.26321081078</v>
      </c>
      <c r="E21" s="100">
        <f>'Funding Model'!$E$27</f>
        <v>58044.118057617408</v>
      </c>
      <c r="F21" s="69" t="e">
        <f>#REF!</f>
        <v>#REF!</v>
      </c>
      <c r="G21" s="69"/>
      <c r="H21" s="69">
        <f>'Band Calculations'!U18</f>
        <v>787988.76899951079</v>
      </c>
      <c r="I21" s="100">
        <v>8483.5</v>
      </c>
      <c r="J21" s="100">
        <v>652.15821795928991</v>
      </c>
      <c r="K21" s="69" t="e">
        <f>SUM(D21:J21)</f>
        <v>#REF!</v>
      </c>
      <c r="L21" s="69" t="e">
        <f>#REF!</f>
        <v>#REF!</v>
      </c>
      <c r="M21" s="69" t="e">
        <f>#REF!</f>
        <v>#REF!</v>
      </c>
      <c r="N21" s="69" t="e">
        <f>K21-L21-M21</f>
        <v>#REF!</v>
      </c>
      <c r="O21" s="69" t="e">
        <f>#REF!</f>
        <v>#REF!</v>
      </c>
      <c r="P21" s="69" t="e">
        <f>N21+O21</f>
        <v>#REF!</v>
      </c>
      <c r="Q21" s="142">
        <f>'Band Calculations'!V18</f>
        <v>55</v>
      </c>
      <c r="S21" s="151" t="e">
        <f t="shared" si="5"/>
        <v>#REF!</v>
      </c>
      <c r="T21" s="151">
        <f t="shared" si="6"/>
        <v>550000</v>
      </c>
      <c r="U21" s="151" t="e">
        <f t="shared" si="7"/>
        <v>#REF!</v>
      </c>
      <c r="V21" s="284" t="e">
        <f>#REF!</f>
        <v>#REF!</v>
      </c>
      <c r="W21" s="69" t="e">
        <f t="shared" si="23"/>
        <v>#REF!</v>
      </c>
      <c r="X21" s="69" t="e">
        <f t="shared" si="8"/>
        <v>#REF!</v>
      </c>
      <c r="Y21" s="69" t="e">
        <f t="shared" si="24"/>
        <v>#REF!</v>
      </c>
      <c r="Z21" s="69" t="e">
        <f t="shared" si="10"/>
        <v>#REF!</v>
      </c>
      <c r="AA21" s="215">
        <f>'Band Calculations'!I18</f>
        <v>55</v>
      </c>
      <c r="AB21" s="69">
        <f t="shared" si="11"/>
        <v>229166.66666666669</v>
      </c>
      <c r="AC21" s="69" t="e">
        <f t="shared" si="12"/>
        <v>#REF!</v>
      </c>
      <c r="AD21" s="215">
        <f>'Band Calculations'!O18</f>
        <v>55</v>
      </c>
      <c r="AE21" s="69">
        <f t="shared" si="13"/>
        <v>320833.33333333337</v>
      </c>
      <c r="AF21" s="69" t="e">
        <f t="shared" si="14"/>
        <v>#REF!</v>
      </c>
      <c r="AG21" s="173" t="e">
        <f t="shared" si="15"/>
        <v>#REF!</v>
      </c>
      <c r="AH21" s="215">
        <f>'Band Calculations'!J18</f>
        <v>0</v>
      </c>
      <c r="AI21" s="69">
        <f t="shared" si="16"/>
        <v>0</v>
      </c>
      <c r="AJ21" s="69" t="e">
        <f t="shared" si="17"/>
        <v>#REF!</v>
      </c>
      <c r="AK21" s="215">
        <f>'Band Calculations'!P18</f>
        <v>0</v>
      </c>
      <c r="AL21" s="69">
        <f t="shared" si="18"/>
        <v>0</v>
      </c>
      <c r="AM21" s="69" t="e">
        <f t="shared" si="19"/>
        <v>#REF!</v>
      </c>
      <c r="AN21" s="69">
        <f t="shared" si="20"/>
        <v>0</v>
      </c>
      <c r="AO21" s="69" t="e">
        <f t="shared" si="21"/>
        <v>#REF!</v>
      </c>
      <c r="AP21" s="69">
        <f t="shared" si="25"/>
        <v>550000</v>
      </c>
      <c r="AQ21" s="69" t="e">
        <f t="shared" si="25"/>
        <v>#REF!</v>
      </c>
      <c r="AR21" s="69" t="e">
        <f t="shared" si="22"/>
        <v>#REF!</v>
      </c>
      <c r="AS21" s="41"/>
      <c r="AT21" s="69" t="e">
        <f>Z21-AR21</f>
        <v>#REF!</v>
      </c>
    </row>
    <row r="22" spans="1:46" x14ac:dyDescent="0.2">
      <c r="A22" s="241"/>
      <c r="B22" s="47"/>
      <c r="C22" s="43"/>
      <c r="D22" s="100"/>
      <c r="E22" s="100"/>
      <c r="F22" s="69"/>
      <c r="G22" s="69"/>
      <c r="H22" s="69"/>
      <c r="I22" s="100"/>
      <c r="J22" s="100"/>
      <c r="K22" s="69"/>
      <c r="L22" s="77"/>
      <c r="M22" s="77"/>
      <c r="N22" s="69"/>
      <c r="O22" s="57"/>
      <c r="P22" s="57"/>
      <c r="Q22" s="41"/>
      <c r="S22" s="151"/>
      <c r="T22" s="151"/>
      <c r="U22" s="151"/>
      <c r="V22" s="69"/>
      <c r="W22" s="69"/>
      <c r="X22" s="69"/>
      <c r="Y22" s="69"/>
      <c r="Z22" s="69"/>
      <c r="AA22" s="41"/>
      <c r="AB22" s="69"/>
      <c r="AC22" s="69"/>
      <c r="AD22" s="41"/>
      <c r="AE22" s="69"/>
      <c r="AF22" s="69"/>
      <c r="AG22" s="173"/>
      <c r="AH22" s="41"/>
      <c r="AI22" s="69"/>
      <c r="AJ22" s="69"/>
      <c r="AK22" s="41"/>
      <c r="AL22" s="69"/>
      <c r="AM22" s="69"/>
      <c r="AN22" s="69"/>
      <c r="AO22" s="69"/>
      <c r="AP22" s="69"/>
      <c r="AQ22" s="69"/>
      <c r="AR22" s="69"/>
      <c r="AS22" s="41"/>
      <c r="AT22" s="69"/>
    </row>
    <row r="23" spans="1:46" x14ac:dyDescent="0.2">
      <c r="A23" s="241">
        <v>9257033</v>
      </c>
      <c r="B23" s="42" t="s">
        <v>72</v>
      </c>
      <c r="C23" s="43">
        <v>3</v>
      </c>
      <c r="D23" s="100">
        <f>'Funding Model'!$D$22</f>
        <v>314686.51772419503</v>
      </c>
      <c r="E23" s="100">
        <f>'Funding Model'!$E$22</f>
        <v>69201.680689977453</v>
      </c>
      <c r="F23" s="69"/>
      <c r="G23" s="69"/>
      <c r="H23" s="69">
        <f>'Band Calculations'!U11</f>
        <v>505498.28651081503</v>
      </c>
      <c r="I23" s="100">
        <v>11162.5</v>
      </c>
      <c r="J23" s="100">
        <v>666.89987413740721</v>
      </c>
      <c r="K23" s="69">
        <f>SUM(D23:J23)</f>
        <v>901215.88479912491</v>
      </c>
      <c r="L23" s="97" t="e">
        <f>#REF!</f>
        <v>#REF!</v>
      </c>
      <c r="M23" s="97" t="e">
        <f>#REF!</f>
        <v>#REF!</v>
      </c>
      <c r="N23" s="69" t="e">
        <f>K23-L23-M23</f>
        <v>#REF!</v>
      </c>
      <c r="O23" s="57"/>
      <c r="P23" s="57"/>
      <c r="Q23" s="142">
        <f>'Band Calculations'!V11</f>
        <v>60</v>
      </c>
      <c r="S23" s="151">
        <f t="shared" si="5"/>
        <v>15020.264746652081</v>
      </c>
      <c r="T23" s="151">
        <f t="shared" si="6"/>
        <v>600000</v>
      </c>
      <c r="U23" s="151">
        <f t="shared" si="7"/>
        <v>5020.2647466520812</v>
      </c>
      <c r="V23" s="284" t="e">
        <f>#REF!</f>
        <v>#REF!</v>
      </c>
      <c r="W23" s="69" t="e">
        <f t="shared" si="23"/>
        <v>#REF!</v>
      </c>
      <c r="X23" s="69" t="e">
        <f t="shared" si="8"/>
        <v>#REF!</v>
      </c>
      <c r="Y23" s="69" t="e">
        <f t="shared" si="24"/>
        <v>#REF!</v>
      </c>
      <c r="Z23" s="69" t="e">
        <f t="shared" si="10"/>
        <v>#REF!</v>
      </c>
      <c r="AA23" s="215">
        <f>'Band Calculations'!I11</f>
        <v>60</v>
      </c>
      <c r="AB23" s="69">
        <f t="shared" si="11"/>
        <v>250000</v>
      </c>
      <c r="AC23" s="69" t="e">
        <f t="shared" si="12"/>
        <v>#REF!</v>
      </c>
      <c r="AD23" s="215">
        <f>'Band Calculations'!O11</f>
        <v>60</v>
      </c>
      <c r="AE23" s="69">
        <f t="shared" si="13"/>
        <v>350000</v>
      </c>
      <c r="AF23" s="69" t="e">
        <f t="shared" si="14"/>
        <v>#REF!</v>
      </c>
      <c r="AG23" s="173" t="e">
        <f t="shared" si="15"/>
        <v>#REF!</v>
      </c>
      <c r="AH23" s="215">
        <f>'Band Calculations'!J11</f>
        <v>0</v>
      </c>
      <c r="AI23" s="69">
        <f t="shared" si="16"/>
        <v>0</v>
      </c>
      <c r="AJ23" s="69" t="e">
        <f t="shared" si="17"/>
        <v>#REF!</v>
      </c>
      <c r="AK23" s="215">
        <f>'Band Calculations'!P11</f>
        <v>0</v>
      </c>
      <c r="AL23" s="69">
        <f t="shared" si="18"/>
        <v>0</v>
      </c>
      <c r="AM23" s="69" t="e">
        <f t="shared" si="19"/>
        <v>#REF!</v>
      </c>
      <c r="AN23" s="69">
        <f t="shared" si="20"/>
        <v>0</v>
      </c>
      <c r="AO23" s="69" t="e">
        <f t="shared" si="21"/>
        <v>#REF!</v>
      </c>
      <c r="AP23" s="69">
        <f>AB23+AE23+AN23</f>
        <v>600000</v>
      </c>
      <c r="AQ23" s="69" t="e">
        <f>AC23+AF23+AO23</f>
        <v>#REF!</v>
      </c>
      <c r="AR23" s="69" t="e">
        <f t="shared" si="22"/>
        <v>#REF!</v>
      </c>
      <c r="AS23" s="41"/>
      <c r="AT23" s="69" t="e">
        <f>Z23-AR23</f>
        <v>#REF!</v>
      </c>
    </row>
    <row r="24" spans="1:46" x14ac:dyDescent="0.2">
      <c r="A24" s="241">
        <v>9257034</v>
      </c>
      <c r="B24" s="42" t="s">
        <v>74</v>
      </c>
      <c r="C24" s="43">
        <v>4</v>
      </c>
      <c r="D24" s="100">
        <f>'Funding Model'!$D$23</f>
        <v>405763.82046267512</v>
      </c>
      <c r="E24" s="100">
        <f>'Funding Model'!$E$23</f>
        <v>88790.687513148558</v>
      </c>
      <c r="F24" s="69"/>
      <c r="G24" s="69"/>
      <c r="H24" s="69">
        <f>'Band Calculations'!U13</f>
        <v>894237.97448646929</v>
      </c>
      <c r="I24" s="100">
        <v>16074</v>
      </c>
      <c r="J24" s="100">
        <v>811.36810468295653</v>
      </c>
      <c r="K24" s="69">
        <f>SUM(D24:J24)</f>
        <v>1405677.850566976</v>
      </c>
      <c r="L24" s="79" t="e">
        <f>#REF!</f>
        <v>#REF!</v>
      </c>
      <c r="M24" s="79" t="e">
        <f>#REF!</f>
        <v>#REF!</v>
      </c>
      <c r="N24" s="69" t="e">
        <f>K24-L24-M24</f>
        <v>#REF!</v>
      </c>
      <c r="Q24" s="142">
        <f>'Band Calculations'!V13</f>
        <v>109</v>
      </c>
      <c r="S24" s="151">
        <f t="shared" si="5"/>
        <v>12896.127069421798</v>
      </c>
      <c r="T24" s="151">
        <f t="shared" si="6"/>
        <v>1090000</v>
      </c>
      <c r="U24" s="151">
        <f t="shared" si="7"/>
        <v>2896.1270694217983</v>
      </c>
      <c r="V24" s="69" t="e">
        <f>#REF!</f>
        <v>#REF!</v>
      </c>
      <c r="W24" s="69" t="e">
        <f t="shared" si="23"/>
        <v>#REF!</v>
      </c>
      <c r="X24" s="69" t="e">
        <f t="shared" si="8"/>
        <v>#REF!</v>
      </c>
      <c r="Y24" s="69" t="e">
        <f t="shared" si="24"/>
        <v>#REF!</v>
      </c>
      <c r="Z24" s="69" t="e">
        <f t="shared" si="10"/>
        <v>#REF!</v>
      </c>
      <c r="AA24" s="215">
        <f>'Band Calculations'!I13</f>
        <v>82</v>
      </c>
      <c r="AB24" s="69">
        <f t="shared" si="11"/>
        <v>341666.66666666669</v>
      </c>
      <c r="AC24" s="69" t="e">
        <f t="shared" si="12"/>
        <v>#REF!</v>
      </c>
      <c r="AD24" s="215">
        <f>'Band Calculations'!O13</f>
        <v>78</v>
      </c>
      <c r="AE24" s="69">
        <f t="shared" si="13"/>
        <v>455000</v>
      </c>
      <c r="AF24" s="69" t="e">
        <f t="shared" si="14"/>
        <v>#REF!</v>
      </c>
      <c r="AG24" s="173" t="e">
        <f t="shared" si="15"/>
        <v>#REF!</v>
      </c>
      <c r="AH24" s="215">
        <f>'Band Calculations'!J13</f>
        <v>27</v>
      </c>
      <c r="AI24" s="69">
        <f t="shared" si="16"/>
        <v>112500</v>
      </c>
      <c r="AJ24" s="69" t="e">
        <f t="shared" si="17"/>
        <v>#REF!</v>
      </c>
      <c r="AK24" s="215">
        <f>'Band Calculations'!P13</f>
        <v>31</v>
      </c>
      <c r="AL24" s="69">
        <f t="shared" si="18"/>
        <v>180833.33333333334</v>
      </c>
      <c r="AM24" s="69" t="e">
        <f t="shared" si="19"/>
        <v>#REF!</v>
      </c>
      <c r="AN24" s="69">
        <f t="shared" si="20"/>
        <v>293333.33333333337</v>
      </c>
      <c r="AO24" s="69" t="e">
        <f t="shared" si="21"/>
        <v>#REF!</v>
      </c>
      <c r="AP24" s="69">
        <f>AB24+AE24+AN24</f>
        <v>1090000</v>
      </c>
      <c r="AQ24" s="69" t="e">
        <f>AC24+AF24+AO24</f>
        <v>#REF!</v>
      </c>
      <c r="AR24" s="69" t="e">
        <f t="shared" si="22"/>
        <v>#REF!</v>
      </c>
      <c r="AS24" s="41"/>
      <c r="AT24" s="69" t="e">
        <f>Z24-AR24</f>
        <v>#REF!</v>
      </c>
    </row>
    <row r="25" spans="1:46" x14ac:dyDescent="0.2">
      <c r="A25" s="74"/>
      <c r="B25" s="55"/>
      <c r="C25" s="66"/>
      <c r="D25" s="46"/>
      <c r="E25" s="46"/>
      <c r="F25" s="46"/>
      <c r="G25" s="46"/>
      <c r="H25" s="46"/>
      <c r="I25" s="84"/>
      <c r="J25" s="84"/>
      <c r="L25" s="46"/>
      <c r="M25" s="46"/>
      <c r="AB25" s="131"/>
      <c r="AC25" s="131"/>
    </row>
    <row r="26" spans="1:46" ht="13.5" customHeight="1" thickBot="1" x14ac:dyDescent="0.25">
      <c r="A26" s="74"/>
      <c r="D26" s="140">
        <f t="shared" ref="D26:Q26" si="26">SUM(D4:D24)</f>
        <v>6718354.6991984947</v>
      </c>
      <c r="E26" s="140">
        <f t="shared" si="26"/>
        <v>1540378.5397757187</v>
      </c>
      <c r="F26" s="140" t="e">
        <f t="shared" si="26"/>
        <v>#REF!</v>
      </c>
      <c r="G26" s="140">
        <f t="shared" si="26"/>
        <v>29207</v>
      </c>
      <c r="H26" s="140">
        <f t="shared" si="26"/>
        <v>15048431.218504105</v>
      </c>
      <c r="I26" s="140">
        <f t="shared" si="26"/>
        <v>236943.16666666666</v>
      </c>
      <c r="J26" s="140">
        <f t="shared" si="26"/>
        <v>13994.89833340567</v>
      </c>
      <c r="K26" s="140" t="e">
        <f>SUM(K4:K24)</f>
        <v>#REF!</v>
      </c>
      <c r="L26" s="140" t="e">
        <f t="shared" si="26"/>
        <v>#REF!</v>
      </c>
      <c r="M26" s="140" t="e">
        <f t="shared" si="26"/>
        <v>#REF!</v>
      </c>
      <c r="N26" s="140" t="e">
        <f t="shared" si="26"/>
        <v>#REF!</v>
      </c>
      <c r="O26" s="140" t="e">
        <f t="shared" si="26"/>
        <v>#REF!</v>
      </c>
      <c r="P26" s="140" t="e">
        <f t="shared" si="26"/>
        <v>#REF!</v>
      </c>
      <c r="Q26" s="188">
        <f t="shared" si="26"/>
        <v>1588.2500000000002</v>
      </c>
      <c r="R26" s="57"/>
      <c r="T26" s="75">
        <f>SUM(T4:T24)</f>
        <v>15882500</v>
      </c>
      <c r="U26" s="74" t="s">
        <v>205</v>
      </c>
    </row>
    <row r="27" spans="1:46" x14ac:dyDescent="0.2">
      <c r="A27" s="74"/>
      <c r="B27" s="44"/>
      <c r="C27" s="44"/>
      <c r="D27" s="83"/>
      <c r="E27" s="83"/>
      <c r="F27" s="83"/>
      <c r="G27" s="83"/>
      <c r="H27" s="44"/>
      <c r="K27" s="83"/>
      <c r="L27" s="46"/>
      <c r="M27" s="46"/>
      <c r="P27" s="130"/>
      <c r="Q27" s="132"/>
      <c r="R27" s="57"/>
      <c r="T27" s="46" t="e">
        <f>K26-T26</f>
        <v>#REF!</v>
      </c>
      <c r="U27" s="74" t="s">
        <v>206</v>
      </c>
    </row>
    <row r="28" spans="1:46" x14ac:dyDescent="0.2">
      <c r="A28" s="74"/>
      <c r="B28" s="44"/>
      <c r="C28" s="44"/>
      <c r="D28" s="83"/>
      <c r="E28" s="83"/>
      <c r="F28" s="83"/>
      <c r="G28" s="83"/>
      <c r="H28" s="44"/>
      <c r="K28" s="83"/>
      <c r="L28" s="46"/>
      <c r="M28" s="46"/>
      <c r="P28" s="130"/>
      <c r="Q28" s="132"/>
      <c r="R28" s="57"/>
      <c r="T28" s="46" t="e">
        <f>SUM(Y4:Y24)</f>
        <v>#REF!</v>
      </c>
      <c r="U28" s="74" t="s">
        <v>219</v>
      </c>
    </row>
    <row r="29" spans="1:46" ht="13.5" thickBot="1" x14ac:dyDescent="0.25">
      <c r="A29" s="74"/>
      <c r="B29" s="44" t="s">
        <v>211</v>
      </c>
      <c r="C29" s="44"/>
      <c r="D29" s="84" t="e">
        <f>#REF!</f>
        <v>#REF!</v>
      </c>
      <c r="E29" s="84" t="e">
        <f>#REF!</f>
        <v>#REF!</v>
      </c>
      <c r="F29" s="84" t="e">
        <f>#REF!</f>
        <v>#REF!</v>
      </c>
      <c r="G29" s="84" t="e">
        <f>#REF!</f>
        <v>#REF!</v>
      </c>
      <c r="H29" s="84" t="e">
        <f>#REF!</f>
        <v>#REF!</v>
      </c>
      <c r="I29" s="84" t="e">
        <f>#REF!</f>
        <v>#REF!</v>
      </c>
      <c r="J29" s="84"/>
      <c r="K29" s="84" t="e">
        <f>SUM(D29:I29)</f>
        <v>#REF!</v>
      </c>
      <c r="L29" s="46"/>
      <c r="M29" s="46"/>
      <c r="P29" s="130"/>
      <c r="Q29" s="185" t="e">
        <f>#REF!</f>
        <v>#REF!</v>
      </c>
      <c r="R29" s="57"/>
      <c r="T29" s="75" t="e">
        <f>SUM(T27:T28)</f>
        <v>#REF!</v>
      </c>
      <c r="U29" s="74" t="s">
        <v>299</v>
      </c>
      <c r="AI29" s="45" t="s">
        <v>264</v>
      </c>
      <c r="AJ29" s="37" t="s">
        <v>255</v>
      </c>
      <c r="AQ29" s="45"/>
    </row>
    <row r="30" spans="1:46" x14ac:dyDescent="0.2">
      <c r="A30" s="74"/>
      <c r="B30" s="44"/>
      <c r="C30" s="44"/>
      <c r="D30" s="84"/>
      <c r="E30" s="84"/>
      <c r="F30" s="84"/>
      <c r="G30" s="84"/>
      <c r="H30" s="84"/>
      <c r="I30" s="84"/>
      <c r="J30" s="84"/>
      <c r="K30" s="84"/>
      <c r="L30" s="46"/>
      <c r="M30" s="46"/>
      <c r="P30" s="130"/>
      <c r="Q30" s="185"/>
      <c r="R30" s="57"/>
      <c r="T30" s="189"/>
      <c r="U30" s="74"/>
      <c r="AI30" s="45"/>
      <c r="AJ30" s="223"/>
      <c r="AQ30" s="45"/>
    </row>
    <row r="31" spans="1:46" s="178" customFormat="1" ht="12.75" customHeight="1" x14ac:dyDescent="0.2">
      <c r="A31" s="183"/>
      <c r="B31" s="177" t="s">
        <v>105</v>
      </c>
      <c r="C31" s="177"/>
      <c r="D31" s="179" t="e">
        <f>D26-D29</f>
        <v>#REF!</v>
      </c>
      <c r="E31" s="179" t="e">
        <f t="shared" ref="E31:K31" si="27">E26-E29</f>
        <v>#REF!</v>
      </c>
      <c r="F31" s="179" t="e">
        <f t="shared" si="27"/>
        <v>#REF!</v>
      </c>
      <c r="G31" s="179" t="e">
        <f t="shared" si="27"/>
        <v>#REF!</v>
      </c>
      <c r="H31" s="179" t="e">
        <f t="shared" si="27"/>
        <v>#REF!</v>
      </c>
      <c r="I31" s="179" t="e">
        <f t="shared" si="27"/>
        <v>#REF!</v>
      </c>
      <c r="J31" s="179"/>
      <c r="K31" s="179" t="e">
        <f t="shared" si="27"/>
        <v>#REF!</v>
      </c>
      <c r="L31" s="180"/>
      <c r="M31" s="180"/>
      <c r="N31" s="181"/>
      <c r="P31" s="182"/>
      <c r="Q31" s="186" t="e">
        <f>Q26-Q29</f>
        <v>#REF!</v>
      </c>
      <c r="R31" s="149"/>
      <c r="S31" s="180"/>
      <c r="T31" s="46" t="e">
        <f>T26+T29</f>
        <v>#REF!</v>
      </c>
      <c r="U31" s="74" t="s">
        <v>221</v>
      </c>
      <c r="V31" s="38"/>
      <c r="W31" s="38"/>
      <c r="X31" s="181"/>
      <c r="Y31" s="181"/>
      <c r="Z31" s="181"/>
      <c r="AI31" s="45" t="s">
        <v>265</v>
      </c>
      <c r="AJ31" s="578" t="s">
        <v>256</v>
      </c>
      <c r="AK31" s="578"/>
      <c r="AL31" s="578"/>
      <c r="AM31" s="578"/>
      <c r="AN31" s="578"/>
      <c r="AO31" s="578"/>
      <c r="AP31" s="578"/>
      <c r="AQ31" s="578"/>
      <c r="AR31" s="578"/>
      <c r="AS31" s="578"/>
      <c r="AT31" s="578"/>
    </row>
    <row r="32" spans="1:46" x14ac:dyDescent="0.2">
      <c r="A32" s="74"/>
      <c r="B32" s="44" t="s">
        <v>212</v>
      </c>
      <c r="C32" s="44"/>
      <c r="D32" s="83">
        <v>1</v>
      </c>
      <c r="E32" s="83">
        <v>1</v>
      </c>
      <c r="F32" s="83">
        <v>2</v>
      </c>
      <c r="G32" s="83"/>
      <c r="H32" s="83">
        <v>3</v>
      </c>
      <c r="K32" s="83">
        <v>4</v>
      </c>
      <c r="L32" s="46"/>
      <c r="M32" s="46"/>
      <c r="P32" s="130"/>
      <c r="Q32" s="185"/>
      <c r="R32" s="57"/>
      <c r="T32" s="46" t="e">
        <f>K26</f>
        <v>#REF!</v>
      </c>
      <c r="U32" s="74" t="s">
        <v>222</v>
      </c>
      <c r="AJ32" s="578"/>
      <c r="AK32" s="578"/>
      <c r="AL32" s="578"/>
      <c r="AM32" s="578"/>
      <c r="AN32" s="578"/>
      <c r="AO32" s="578"/>
      <c r="AP32" s="578"/>
      <c r="AQ32" s="578"/>
      <c r="AR32" s="578"/>
      <c r="AS32" s="578"/>
      <c r="AT32" s="578"/>
    </row>
    <row r="33" spans="1:44" x14ac:dyDescent="0.2">
      <c r="A33" s="74"/>
      <c r="B33" s="44"/>
      <c r="C33" s="44"/>
      <c r="D33" s="83"/>
      <c r="E33" s="83"/>
      <c r="F33" s="83"/>
      <c r="G33" s="83"/>
      <c r="H33" s="44"/>
      <c r="K33" s="83"/>
      <c r="L33" s="46"/>
      <c r="M33" s="46"/>
      <c r="P33" s="130"/>
      <c r="Q33" s="132"/>
      <c r="R33" s="57"/>
      <c r="S33" s="180" t="s">
        <v>102</v>
      </c>
      <c r="T33" s="180" t="e">
        <f>T31-T32</f>
        <v>#REF!</v>
      </c>
      <c r="U33" s="183" t="s">
        <v>223</v>
      </c>
      <c r="V33" s="178"/>
    </row>
    <row r="34" spans="1:44" x14ac:dyDescent="0.2">
      <c r="A34" s="74"/>
      <c r="D34" s="83"/>
      <c r="E34" s="83"/>
      <c r="F34" s="83"/>
      <c r="G34" s="83"/>
      <c r="H34" s="44"/>
      <c r="K34" s="83"/>
    </row>
    <row r="35" spans="1:44" x14ac:dyDescent="0.2">
      <c r="A35" s="295">
        <v>9257012</v>
      </c>
      <c r="B35" s="138" t="s">
        <v>137</v>
      </c>
      <c r="C35" s="138"/>
      <c r="D35" s="100">
        <f>'Funding Model'!D29</f>
        <v>311632.88595405407</v>
      </c>
      <c r="E35" s="100">
        <f>'Funding Model'!E29</f>
        <v>45920</v>
      </c>
      <c r="F35" s="100"/>
      <c r="G35" s="100"/>
      <c r="H35" s="100">
        <f>'Band Calculations'!U24</f>
        <v>233840.41276193576</v>
      </c>
      <c r="I35" s="100">
        <v>446.5</v>
      </c>
      <c r="J35" s="100">
        <v>548.96662471246907</v>
      </c>
      <c r="K35" s="100">
        <f>SUM(D35:J35)</f>
        <v>592388.76534070226</v>
      </c>
      <c r="L35" s="69" t="e">
        <f>#REF!</f>
        <v>#REF!</v>
      </c>
      <c r="M35" s="69" t="e">
        <f>#REF!</f>
        <v>#REF!</v>
      </c>
      <c r="N35" s="69" t="e">
        <f>K35-L35-M35</f>
        <v>#REF!</v>
      </c>
      <c r="O35" s="131"/>
      <c r="P35" s="131"/>
      <c r="Q35" s="142">
        <f>'Band Calculations'!K24</f>
        <v>20</v>
      </c>
      <c r="R35" s="131"/>
    </row>
    <row r="36" spans="1:44" x14ac:dyDescent="0.2">
      <c r="A36" s="295">
        <v>9257003</v>
      </c>
      <c r="B36" s="138" t="s">
        <v>138</v>
      </c>
      <c r="C36" s="138"/>
      <c r="D36" s="100">
        <f>'Funding Model'!D28</f>
        <v>120796.88938648649</v>
      </c>
      <c r="E36" s="100">
        <f>'Funding Model'!E28</f>
        <v>18681.5</v>
      </c>
      <c r="F36" s="100"/>
      <c r="G36" s="100"/>
      <c r="H36" s="100">
        <f>'Band Calculations'!U25</f>
        <v>105228.18574287108</v>
      </c>
      <c r="I36" s="100">
        <v>0</v>
      </c>
      <c r="J36" s="100">
        <v>516.53498112061106</v>
      </c>
      <c r="K36" s="100">
        <f>SUM(D36:J36)</f>
        <v>245223.11011047818</v>
      </c>
      <c r="L36" s="69" t="e">
        <f>#REF!</f>
        <v>#REF!</v>
      </c>
      <c r="M36" s="69" t="e">
        <f>#REF!</f>
        <v>#REF!</v>
      </c>
      <c r="N36" s="69" t="e">
        <f>K36-L36-M36</f>
        <v>#REF!</v>
      </c>
      <c r="O36" s="137"/>
      <c r="P36" s="131"/>
      <c r="Q36" s="142">
        <f>'Band Calculations'!K25</f>
        <v>9</v>
      </c>
      <c r="R36" s="131"/>
    </row>
    <row r="37" spans="1:44" x14ac:dyDescent="0.2">
      <c r="A37" s="131"/>
      <c r="B37" s="131"/>
      <c r="C37" s="131"/>
      <c r="D37" s="84"/>
      <c r="E37" s="84"/>
      <c r="F37" s="84"/>
      <c r="G37" s="84"/>
      <c r="H37" s="84"/>
      <c r="I37" s="84"/>
      <c r="J37" s="84"/>
      <c r="K37" s="323">
        <f>SUM(K35:K36)</f>
        <v>837611.87545118039</v>
      </c>
      <c r="L37" s="136"/>
      <c r="M37" s="136"/>
      <c r="N37" s="78"/>
      <c r="O37" s="137"/>
      <c r="P37" s="131"/>
      <c r="Q37" s="46"/>
      <c r="R37" s="131"/>
    </row>
    <row r="38" spans="1:44" ht="13.5" thickBot="1" x14ac:dyDescent="0.25">
      <c r="A38" s="131"/>
      <c r="B38" s="131"/>
      <c r="C38" s="131"/>
      <c r="D38" s="84"/>
      <c r="E38" s="84"/>
      <c r="F38" s="84"/>
      <c r="G38" s="84"/>
      <c r="H38" s="140">
        <f t="shared" ref="H38:N38" si="28">H26+H35+H36</f>
        <v>15387499.817008913</v>
      </c>
      <c r="I38" s="140">
        <f t="shared" si="28"/>
        <v>237389.66666666666</v>
      </c>
      <c r="J38" s="140">
        <f t="shared" si="28"/>
        <v>15060.39993923875</v>
      </c>
      <c r="K38" s="140" t="e">
        <f t="shared" si="28"/>
        <v>#REF!</v>
      </c>
      <c r="L38" s="140" t="e">
        <f t="shared" si="28"/>
        <v>#REF!</v>
      </c>
      <c r="M38" s="140" t="e">
        <f t="shared" si="28"/>
        <v>#REF!</v>
      </c>
      <c r="N38" s="140" t="e">
        <f t="shared" si="28"/>
        <v>#REF!</v>
      </c>
      <c r="O38" s="137"/>
      <c r="P38" s="131"/>
      <c r="Q38" s="46"/>
      <c r="R38" s="131"/>
    </row>
    <row r="39" spans="1:44" s="131" customFormat="1" x14ac:dyDescent="0.2">
      <c r="D39" s="84"/>
      <c r="E39" s="84"/>
      <c r="F39" s="84"/>
      <c r="G39" s="84"/>
      <c r="H39" s="84"/>
      <c r="I39" s="84"/>
      <c r="J39" s="84"/>
      <c r="K39" s="84"/>
      <c r="L39" s="136"/>
      <c r="M39" s="136"/>
      <c r="N39" s="78"/>
      <c r="O39" s="137"/>
      <c r="Q39" s="46"/>
      <c r="S39" s="46"/>
      <c r="T39" s="46"/>
      <c r="U39" s="46"/>
      <c r="X39" s="46"/>
      <c r="Y39" s="46"/>
      <c r="Z39" s="46"/>
      <c r="AR39" s="46"/>
    </row>
    <row r="40" spans="1:44" x14ac:dyDescent="0.2">
      <c r="C40" s="184"/>
      <c r="L40" s="133"/>
      <c r="M40" s="93"/>
      <c r="N40" s="83"/>
      <c r="O40" s="84"/>
      <c r="P40" s="46"/>
    </row>
    <row r="41" spans="1:44" x14ac:dyDescent="0.2">
      <c r="C41" s="45"/>
      <c r="D41" s="74"/>
      <c r="L41" s="80"/>
      <c r="M41" s="80"/>
      <c r="N41" s="78"/>
      <c r="O41" s="46"/>
      <c r="P41" s="78"/>
    </row>
    <row r="42" spans="1:44" x14ac:dyDescent="0.2">
      <c r="C42" s="45"/>
      <c r="D42" s="74"/>
      <c r="L42" s="57" t="s">
        <v>148</v>
      </c>
      <c r="M42" s="133"/>
      <c r="N42" s="78"/>
      <c r="O42" s="46"/>
    </row>
    <row r="43" spans="1:44" x14ac:dyDescent="0.2">
      <c r="C43" s="45"/>
      <c r="D43" s="74"/>
      <c r="L43" s="52" t="s">
        <v>113</v>
      </c>
      <c r="M43" s="80"/>
      <c r="N43" s="78">
        <v>-281813.35687466699</v>
      </c>
      <c r="O43" s="78"/>
      <c r="P43" s="78"/>
    </row>
    <row r="44" spans="1:44" x14ac:dyDescent="0.2">
      <c r="B44" s="139"/>
      <c r="C44" s="53"/>
      <c r="D44" s="95"/>
      <c r="E44" s="95"/>
      <c r="F44" s="95"/>
      <c r="G44" s="95"/>
      <c r="H44" s="95"/>
      <c r="I44" s="175"/>
      <c r="J44" s="175"/>
      <c r="K44" s="95"/>
      <c r="L44" s="37" t="s">
        <v>115</v>
      </c>
      <c r="M44" s="95"/>
      <c r="N44" s="99">
        <v>62139.81013245543</v>
      </c>
      <c r="O44" s="95"/>
      <c r="P44" s="86"/>
    </row>
    <row r="45" spans="1:44" x14ac:dyDescent="0.2">
      <c r="B45" s="95"/>
      <c r="C45" s="207"/>
      <c r="E45" s="95"/>
      <c r="F45" s="95"/>
      <c r="G45" s="95"/>
      <c r="H45" s="95"/>
      <c r="I45" s="175"/>
      <c r="J45" s="175"/>
      <c r="K45" s="95"/>
      <c r="L45" s="95"/>
      <c r="M45" s="95"/>
      <c r="N45" s="143">
        <v>-437308.27314221102</v>
      </c>
      <c r="O45" s="95"/>
      <c r="P45" s="86"/>
    </row>
    <row r="47" spans="1:44" x14ac:dyDescent="0.2">
      <c r="C47" s="45"/>
      <c r="D47" s="37"/>
    </row>
    <row r="48" spans="1:44" x14ac:dyDescent="0.2">
      <c r="C48" s="45"/>
      <c r="D48" s="37"/>
    </row>
  </sheetData>
  <customSheetViews>
    <customSheetView guid="{6B129A8F-21F1-407F-BF03-B1785CB23E02}" scale="85" hiddenColumns="1" state="hidden">
      <pane xSplit="2" topLeftCell="C1" activePane="topRight" state="frozen"/>
      <selection pane="topRight" activeCell="B2" sqref="B2"/>
      <pageMargins left="0.39370078740157483" right="0.39370078740157483" top="0.98425196850393704" bottom="0.98425196850393704" header="0.51181102362204722" footer="0.51181102362204722"/>
      <pageSetup paperSize="9" scale="65" orientation="landscape" r:id="rId1"/>
      <headerFooter alignWithMargins="0">
        <oddFooter>&amp;F</oddFooter>
      </headerFooter>
    </customSheetView>
  </customSheetViews>
  <mergeCells count="3">
    <mergeCell ref="AA2:AG2"/>
    <mergeCell ref="AH2:AO2"/>
    <mergeCell ref="AJ31:AT32"/>
  </mergeCells>
  <phoneticPr fontId="60" type="noConversion"/>
  <pageMargins left="0.39370078740157483" right="0.39370078740157483" top="0.98425196850393704" bottom="0.98425196850393704" header="0.51181102362204722" footer="0.51181102362204722"/>
  <pageSetup paperSize="9" scale="65" orientation="landscape" r:id="rId2"/>
  <headerFooter alignWithMargins="0">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W48"/>
  <sheetViews>
    <sheetView zoomScale="85" zoomScaleNormal="100" workbookViewId="0">
      <pane xSplit="2" topLeftCell="C1" activePane="topRight" state="frozen"/>
      <selection activeCell="B1" sqref="B1"/>
      <selection pane="topRight" activeCell="B13" sqref="B13"/>
    </sheetView>
  </sheetViews>
  <sheetFormatPr defaultColWidth="10.28515625" defaultRowHeight="12.75" x14ac:dyDescent="0.2"/>
  <cols>
    <col min="1" max="1" width="10.28515625" style="38"/>
    <col min="2" max="2" width="31.5703125" style="38" customWidth="1"/>
    <col min="3" max="3" width="6.140625" style="38" customWidth="1"/>
    <col min="4" max="8" width="15.7109375" style="45" customWidth="1"/>
    <col min="9" max="9" width="15.7109375" style="38" customWidth="1"/>
    <col min="10" max="11" width="15.7109375" style="44" customWidth="1"/>
    <col min="12" max="12" width="15.7109375" style="45" customWidth="1"/>
    <col min="13" max="15" width="15.7109375" style="45" hidden="1" customWidth="1"/>
    <col min="16" max="17" width="15.7109375" style="38" hidden="1" customWidth="1"/>
    <col min="18" max="18" width="10.28515625" style="45" customWidth="1"/>
    <col min="19" max="19" width="0.85546875" style="38" customWidth="1"/>
    <col min="20" max="20" width="10.28515625" style="46" customWidth="1"/>
    <col min="21" max="21" width="11.85546875" style="45" bestFit="1" customWidth="1"/>
    <col min="22" max="22" width="10.28515625" style="45"/>
    <col min="23" max="24" width="10.28515625" style="38"/>
    <col min="25" max="25" width="2.7109375" style="38" customWidth="1"/>
    <col min="26" max="27" width="10.28515625" style="45"/>
    <col min="28" max="36" width="10.28515625" style="38"/>
    <col min="37" max="37" width="11.5703125" style="38" customWidth="1"/>
    <col min="38" max="46" width="10.28515625" style="38"/>
    <col min="47" max="47" width="10.28515625" style="45"/>
    <col min="48" max="48" width="0.85546875" style="38" customWidth="1"/>
    <col min="49" max="16384" width="10.28515625" style="38"/>
  </cols>
  <sheetData>
    <row r="1" spans="1:49" ht="18.75" thickBot="1" x14ac:dyDescent="0.3">
      <c r="B1" s="48" t="s">
        <v>215</v>
      </c>
      <c r="C1" s="37"/>
      <c r="AK1" s="213" t="s">
        <v>254</v>
      </c>
      <c r="AL1" s="214">
        <v>10977</v>
      </c>
    </row>
    <row r="2" spans="1:49" ht="13.5" thickBot="1" x14ac:dyDescent="0.25">
      <c r="B2" s="52"/>
      <c r="C2" s="52"/>
      <c r="R2" s="81"/>
      <c r="AB2" s="575" t="s">
        <v>216</v>
      </c>
      <c r="AC2" s="576"/>
      <c r="AD2" s="576"/>
      <c r="AE2" s="576"/>
      <c r="AF2" s="576"/>
      <c r="AG2" s="576"/>
      <c r="AH2" s="577"/>
      <c r="AI2" s="576" t="s">
        <v>217</v>
      </c>
      <c r="AJ2" s="576"/>
      <c r="AK2" s="576"/>
      <c r="AL2" s="576"/>
      <c r="AM2" s="576"/>
      <c r="AN2" s="576"/>
      <c r="AO2" s="576"/>
      <c r="AP2" s="576"/>
      <c r="AQ2" s="576"/>
      <c r="AR2" s="577"/>
    </row>
    <row r="3" spans="1:49" ht="39" customHeight="1" thickBot="1" x14ac:dyDescent="0.25">
      <c r="A3" s="239" t="s">
        <v>268</v>
      </c>
      <c r="B3" s="40" t="s">
        <v>66</v>
      </c>
      <c r="C3" s="43" t="s">
        <v>52</v>
      </c>
      <c r="D3" s="145" t="s">
        <v>20</v>
      </c>
      <c r="E3" s="146" t="s">
        <v>21</v>
      </c>
      <c r="F3" s="50" t="s">
        <v>144</v>
      </c>
      <c r="G3" s="41" t="s">
        <v>64</v>
      </c>
      <c r="H3" s="41" t="s">
        <v>114</v>
      </c>
      <c r="I3" s="41" t="s">
        <v>103</v>
      </c>
      <c r="J3" s="174" t="s">
        <v>201</v>
      </c>
      <c r="K3" s="174" t="s">
        <v>237</v>
      </c>
      <c r="L3" s="41" t="s">
        <v>104</v>
      </c>
      <c r="M3" s="70" t="s">
        <v>145</v>
      </c>
      <c r="N3" s="70" t="s">
        <v>146</v>
      </c>
      <c r="O3" s="41" t="s">
        <v>105</v>
      </c>
      <c r="R3" s="70" t="s">
        <v>236</v>
      </c>
      <c r="T3" s="70" t="s">
        <v>151</v>
      </c>
      <c r="U3" s="151" t="s">
        <v>150</v>
      </c>
      <c r="V3" s="151" t="s">
        <v>152</v>
      </c>
      <c r="W3" s="151" t="s">
        <v>203</v>
      </c>
      <c r="X3" s="151" t="s">
        <v>204</v>
      </c>
      <c r="Y3" s="40"/>
      <c r="Z3" s="70" t="s">
        <v>220</v>
      </c>
      <c r="AA3" s="70" t="s">
        <v>263</v>
      </c>
      <c r="AB3" s="219" t="s">
        <v>245</v>
      </c>
      <c r="AC3" s="220" t="s">
        <v>150</v>
      </c>
      <c r="AD3" s="220" t="s">
        <v>152</v>
      </c>
      <c r="AE3" s="221" t="s">
        <v>246</v>
      </c>
      <c r="AF3" s="220" t="s">
        <v>150</v>
      </c>
      <c r="AG3" s="220" t="s">
        <v>152</v>
      </c>
      <c r="AH3" s="222" t="s">
        <v>247</v>
      </c>
      <c r="AI3" s="216" t="s">
        <v>248</v>
      </c>
      <c r="AJ3" s="208" t="s">
        <v>250</v>
      </c>
      <c r="AK3" s="208" t="s">
        <v>251</v>
      </c>
      <c r="AL3" s="209" t="s">
        <v>252</v>
      </c>
      <c r="AM3" s="209" t="s">
        <v>253</v>
      </c>
      <c r="AN3" s="211" t="s">
        <v>249</v>
      </c>
      <c r="AO3" s="212" t="s">
        <v>259</v>
      </c>
      <c r="AP3" s="212" t="s">
        <v>260</v>
      </c>
      <c r="AQ3" s="210" t="s">
        <v>257</v>
      </c>
      <c r="AR3" s="210" t="s">
        <v>258</v>
      </c>
      <c r="AS3" s="70" t="s">
        <v>261</v>
      </c>
      <c r="AT3" s="70" t="s">
        <v>262</v>
      </c>
      <c r="AU3" s="70" t="s">
        <v>104</v>
      </c>
      <c r="AV3" s="41"/>
      <c r="AW3" s="41" t="s">
        <v>105</v>
      </c>
    </row>
    <row r="4" spans="1:49" x14ac:dyDescent="0.2">
      <c r="A4" s="241">
        <v>9257010</v>
      </c>
      <c r="B4" s="42" t="s">
        <v>67</v>
      </c>
      <c r="C4" s="43">
        <v>3</v>
      </c>
      <c r="D4" s="100">
        <f>'Funding Model'!$D$22</f>
        <v>314686.51772419503</v>
      </c>
      <c r="E4" s="100">
        <f>'Funding Model'!$E$22</f>
        <v>69201.680689977453</v>
      </c>
      <c r="F4" s="69"/>
      <c r="G4" s="69"/>
      <c r="H4" s="69"/>
      <c r="I4" s="69">
        <f>'Band Calculations'!U5</f>
        <v>425593.21832531283</v>
      </c>
      <c r="J4" s="100">
        <v>4912</v>
      </c>
      <c r="K4" s="100">
        <v>616.77824313180849</v>
      </c>
      <c r="L4" s="69">
        <f>SUM(D4:K4)</f>
        <v>815010.19498261716</v>
      </c>
      <c r="M4" s="69" t="e">
        <f>#REF!</f>
        <v>#REF!</v>
      </c>
      <c r="N4" s="69" t="e">
        <f>#REF!</f>
        <v>#REF!</v>
      </c>
      <c r="O4" s="69" t="e">
        <f>L4-M4-N4</f>
        <v>#REF!</v>
      </c>
      <c r="R4" s="142">
        <f>'Band Calculations'!V5</f>
        <v>43</v>
      </c>
      <c r="T4" s="151">
        <f>L4/R4</f>
        <v>18953.725464712028</v>
      </c>
      <c r="U4" s="151">
        <f>R4*10000</f>
        <v>430000</v>
      </c>
      <c r="V4" s="151">
        <f>T4-10000</f>
        <v>8953.725464712028</v>
      </c>
      <c r="W4" s="69" t="e">
        <f>#REF!</f>
        <v>#REF!</v>
      </c>
      <c r="X4" s="69" t="e">
        <f>IF(V4&gt;W4,(V4),(W4))</f>
        <v>#REF!</v>
      </c>
      <c r="Y4" s="40"/>
      <c r="Z4" s="41"/>
      <c r="AA4" s="69">
        <f>L4+Z4</f>
        <v>815010.19498261716</v>
      </c>
      <c r="AB4" s="217">
        <f>'Band Calculations'!I5</f>
        <v>29</v>
      </c>
      <c r="AC4" s="190">
        <f>(AB4*10000)*(5/12)</f>
        <v>120833.33333333334</v>
      </c>
      <c r="AD4" s="190" t="e">
        <f>(AB4*X4)*(5/12)</f>
        <v>#REF!</v>
      </c>
      <c r="AE4" s="217">
        <f>'Band Calculations'!O5</f>
        <v>35</v>
      </c>
      <c r="AF4" s="190">
        <f>(AE4*10000)*(7/12)</f>
        <v>204166.66666666669</v>
      </c>
      <c r="AG4" s="190" t="e">
        <f>(AE4*X4)*(7/12)</f>
        <v>#REF!</v>
      </c>
      <c r="AH4" s="218" t="e">
        <f>AC4+AD4+AF4+AG4</f>
        <v>#REF!</v>
      </c>
      <c r="AI4" s="142">
        <f>'Band Calculations'!J5</f>
        <v>14</v>
      </c>
      <c r="AJ4" s="69">
        <f>(AI4*10000)*(4/12)</f>
        <v>46666.666666666664</v>
      </c>
      <c r="AK4" s="69" t="e">
        <f>(AI4*X4)*(4/12)</f>
        <v>#REF!</v>
      </c>
      <c r="AL4" s="69">
        <f>(AI4*$AL$1)*(1/12)</f>
        <v>12806.5</v>
      </c>
      <c r="AM4" s="69" t="e">
        <f>(AI4*(X4-977))*(1/12)</f>
        <v>#REF!</v>
      </c>
      <c r="AN4" s="142">
        <f>'Band Calculations'!P5</f>
        <v>8</v>
      </c>
      <c r="AO4" s="69">
        <f>(AN4*$AL$1)*(7/12)</f>
        <v>51226</v>
      </c>
      <c r="AP4" s="69" t="e">
        <f>(AN4*(X4-977))*(7/12)</f>
        <v>#REF!</v>
      </c>
      <c r="AQ4" s="69">
        <f>AJ4+AL4+AO4</f>
        <v>110699.16666666666</v>
      </c>
      <c r="AR4" s="69" t="e">
        <f>AK4+AM4+AP4</f>
        <v>#REF!</v>
      </c>
      <c r="AS4" s="69">
        <f>AC4+AF4+AQ4</f>
        <v>435699.16666666663</v>
      </c>
      <c r="AT4" s="69" t="e">
        <f>AD4+AG4+AR4</f>
        <v>#REF!</v>
      </c>
      <c r="AU4" s="69" t="e">
        <f>AS4+AT4</f>
        <v>#REF!</v>
      </c>
      <c r="AV4" s="41"/>
      <c r="AW4" s="69" t="e">
        <f>AA4-AU4</f>
        <v>#REF!</v>
      </c>
    </row>
    <row r="5" spans="1:49" x14ac:dyDescent="0.2">
      <c r="A5" s="241">
        <v>9257005</v>
      </c>
      <c r="B5" s="42" t="s">
        <v>68</v>
      </c>
      <c r="C5" s="43">
        <v>3</v>
      </c>
      <c r="D5" s="100">
        <f>'Funding Model'!$D$22</f>
        <v>314686.51772419503</v>
      </c>
      <c r="E5" s="100">
        <f>'Funding Model'!$E$22</f>
        <v>69201.680689977453</v>
      </c>
      <c r="F5" s="69"/>
      <c r="G5" s="69"/>
      <c r="H5" s="69"/>
      <c r="I5" s="69">
        <f>'Band Calculations'!U6</f>
        <v>553473.01366939745</v>
      </c>
      <c r="J5" s="100">
        <v>12055.5</v>
      </c>
      <c r="K5" s="100">
        <v>675.74486784427756</v>
      </c>
      <c r="L5" s="69">
        <f t="shared" ref="L5:L24" si="0">SUM(D5:K5)</f>
        <v>950092.45695141423</v>
      </c>
      <c r="M5" s="69" t="e">
        <f>#REF!</f>
        <v>#REF!</v>
      </c>
      <c r="N5" s="69" t="e">
        <f>#REF!</f>
        <v>#REF!</v>
      </c>
      <c r="O5" s="69" t="e">
        <f t="shared" ref="O5:O16" si="1">L5-M5-N5</f>
        <v>#REF!</v>
      </c>
      <c r="R5" s="142">
        <f>'Band Calculations'!V6</f>
        <v>63</v>
      </c>
      <c r="T5" s="151">
        <f t="shared" ref="T5:T24" si="2">L5/R5</f>
        <v>15080.832650022448</v>
      </c>
      <c r="U5" s="151">
        <f t="shared" ref="U5:U24" si="3">R5*10000</f>
        <v>630000</v>
      </c>
      <c r="V5" s="151">
        <f t="shared" ref="V5:V24" si="4">T5-10000</f>
        <v>5080.8326500224484</v>
      </c>
      <c r="W5" s="69" t="e">
        <f>#REF!</f>
        <v>#REF!</v>
      </c>
      <c r="X5" s="69" t="e">
        <f>IF(V5&gt;W5,(V5),(W5))</f>
        <v>#REF!</v>
      </c>
      <c r="Y5" s="40"/>
      <c r="Z5" s="41"/>
      <c r="AA5" s="69">
        <f t="shared" ref="AA5:AA24" si="5">L5+Z5</f>
        <v>950092.45695141423</v>
      </c>
      <c r="AB5" s="215">
        <f>'Band Calculations'!I6</f>
        <v>38</v>
      </c>
      <c r="AC5" s="69">
        <f t="shared" ref="AC5:AC24" si="6">(AB5*10000)*(5/12)</f>
        <v>158333.33333333334</v>
      </c>
      <c r="AD5" s="69" t="e">
        <f t="shared" ref="AD5:AD24" si="7">(AB5*X5)*(5/12)</f>
        <v>#REF!</v>
      </c>
      <c r="AE5" s="215">
        <f>'Band Calculations'!O6</f>
        <v>38</v>
      </c>
      <c r="AF5" s="69">
        <f t="shared" ref="AF5:AF24" si="8">(AE5*10000)*(7/12)</f>
        <v>221666.66666666669</v>
      </c>
      <c r="AG5" s="69" t="e">
        <f t="shared" ref="AG5:AG24" si="9">(AE5*X5)*(7/12)</f>
        <v>#REF!</v>
      </c>
      <c r="AH5" s="173" t="e">
        <f t="shared" ref="AH5:AH24" si="10">AC5+AD5+AF5+AG5</f>
        <v>#REF!</v>
      </c>
      <c r="AI5" s="215">
        <f>'Band Calculations'!J6</f>
        <v>25</v>
      </c>
      <c r="AJ5" s="69">
        <f t="shared" ref="AJ5:AJ24" si="11">(AI5*10000)*(4/12)</f>
        <v>83333.333333333328</v>
      </c>
      <c r="AK5" s="69" t="e">
        <f t="shared" ref="AK5:AK24" si="12">(AI5*X5)*(4/12)</f>
        <v>#REF!</v>
      </c>
      <c r="AL5" s="69">
        <f t="shared" ref="AL5:AL24" si="13">(AI5*$AL$1)*(1/12)</f>
        <v>22868.75</v>
      </c>
      <c r="AM5" s="69" t="e">
        <f t="shared" ref="AM5:AM24" si="14">(AI5*(X5-977))*(1/12)</f>
        <v>#REF!</v>
      </c>
      <c r="AN5" s="215">
        <f>'Band Calculations'!P6</f>
        <v>25</v>
      </c>
      <c r="AO5" s="69">
        <f t="shared" ref="AO5:AO24" si="15">(AN5*$AL$1)*(7/12)</f>
        <v>160081.25</v>
      </c>
      <c r="AP5" s="69" t="e">
        <f t="shared" ref="AP5:AP24" si="16">(AN5*(X5-977))*(7/12)</f>
        <v>#REF!</v>
      </c>
      <c r="AQ5" s="69">
        <f t="shared" ref="AQ5:AQ24" si="17">AJ5+AL5+AO5</f>
        <v>266283.33333333331</v>
      </c>
      <c r="AR5" s="69" t="e">
        <f t="shared" ref="AR5:AR24" si="18">AK5+AM5+AP5</f>
        <v>#REF!</v>
      </c>
      <c r="AS5" s="69">
        <f t="shared" ref="AS5:AS24" si="19">AC5+AF5+AQ5</f>
        <v>646283.33333333326</v>
      </c>
      <c r="AT5" s="69" t="e">
        <f t="shared" ref="AT5:AT24" si="20">AD5+AG5+AR5</f>
        <v>#REF!</v>
      </c>
      <c r="AU5" s="69" t="e">
        <f t="shared" ref="AU5:AU24" si="21">AS5+AT5</f>
        <v>#REF!</v>
      </c>
      <c r="AV5" s="41"/>
      <c r="AW5" s="69" t="e">
        <f t="shared" ref="AW5:AW24" si="22">AA5-AU5</f>
        <v>#REF!</v>
      </c>
    </row>
    <row r="6" spans="1:49" x14ac:dyDescent="0.2">
      <c r="A6" s="241">
        <v>9257025</v>
      </c>
      <c r="B6" s="42" t="s">
        <v>69</v>
      </c>
      <c r="C6" s="43">
        <v>3</v>
      </c>
      <c r="D6" s="100">
        <f>'Funding Model'!$D$22</f>
        <v>314686.51772419503</v>
      </c>
      <c r="E6" s="100">
        <f>'Funding Model'!$E$22</f>
        <v>69201.680689977453</v>
      </c>
      <c r="F6" s="69"/>
      <c r="G6" s="69"/>
      <c r="H6" s="69"/>
      <c r="I6" s="69">
        <f>'Band Calculations'!U7</f>
        <v>579103.93872145144</v>
      </c>
      <c r="J6" s="100">
        <v>4465</v>
      </c>
      <c r="K6" s="100">
        <v>646.26155548804309</v>
      </c>
      <c r="L6" s="69">
        <f t="shared" si="0"/>
        <v>968103.39869111194</v>
      </c>
      <c r="M6" s="69" t="e">
        <f>#REF!</f>
        <v>#REF!</v>
      </c>
      <c r="N6" s="69" t="e">
        <f>#REF!</f>
        <v>#REF!</v>
      </c>
      <c r="O6" s="69" t="e">
        <f t="shared" si="1"/>
        <v>#REF!</v>
      </c>
      <c r="R6" s="142">
        <f>'Band Calculations'!V7</f>
        <v>53</v>
      </c>
      <c r="T6" s="151">
        <f t="shared" si="2"/>
        <v>18266.101862096453</v>
      </c>
      <c r="U6" s="151">
        <f t="shared" si="3"/>
        <v>530000</v>
      </c>
      <c r="V6" s="151">
        <f t="shared" si="4"/>
        <v>8266.1018620964533</v>
      </c>
      <c r="W6" s="69" t="e">
        <f>#REF!</f>
        <v>#REF!</v>
      </c>
      <c r="X6" s="69" t="e">
        <f t="shared" ref="X6:X24" si="23">IF(V6&gt;W6,(V6),(W6))</f>
        <v>#REF!</v>
      </c>
      <c r="Y6" s="40"/>
      <c r="Z6" s="41"/>
      <c r="AA6" s="69">
        <f t="shared" si="5"/>
        <v>968103.39869111194</v>
      </c>
      <c r="AB6" s="215">
        <f>'Band Calculations'!I7</f>
        <v>41</v>
      </c>
      <c r="AC6" s="69">
        <f t="shared" si="6"/>
        <v>170833.33333333334</v>
      </c>
      <c r="AD6" s="69" t="e">
        <f t="shared" si="7"/>
        <v>#REF!</v>
      </c>
      <c r="AE6" s="215">
        <f>'Band Calculations'!O7</f>
        <v>39</v>
      </c>
      <c r="AF6" s="69">
        <f t="shared" si="8"/>
        <v>227500</v>
      </c>
      <c r="AG6" s="69" t="e">
        <f t="shared" si="9"/>
        <v>#REF!</v>
      </c>
      <c r="AH6" s="173" t="e">
        <f t="shared" si="10"/>
        <v>#REF!</v>
      </c>
      <c r="AI6" s="215">
        <f>'Band Calculations'!J7</f>
        <v>12</v>
      </c>
      <c r="AJ6" s="69">
        <f t="shared" si="11"/>
        <v>40000</v>
      </c>
      <c r="AK6" s="69" t="e">
        <f t="shared" si="12"/>
        <v>#REF!</v>
      </c>
      <c r="AL6" s="69">
        <f t="shared" si="13"/>
        <v>10977</v>
      </c>
      <c r="AM6" s="69" t="e">
        <f t="shared" si="14"/>
        <v>#REF!</v>
      </c>
      <c r="AN6" s="215">
        <f>'Band Calculations'!P7</f>
        <v>14</v>
      </c>
      <c r="AO6" s="69">
        <f t="shared" si="15"/>
        <v>89645.5</v>
      </c>
      <c r="AP6" s="69" t="e">
        <f t="shared" si="16"/>
        <v>#REF!</v>
      </c>
      <c r="AQ6" s="69">
        <f t="shared" si="17"/>
        <v>140622.5</v>
      </c>
      <c r="AR6" s="69" t="e">
        <f t="shared" si="18"/>
        <v>#REF!</v>
      </c>
      <c r="AS6" s="69">
        <f t="shared" si="19"/>
        <v>538955.83333333337</v>
      </c>
      <c r="AT6" s="69" t="e">
        <f t="shared" si="20"/>
        <v>#REF!</v>
      </c>
      <c r="AU6" s="69" t="e">
        <f t="shared" si="21"/>
        <v>#REF!</v>
      </c>
      <c r="AV6" s="41"/>
      <c r="AW6" s="69" t="e">
        <f t="shared" si="22"/>
        <v>#REF!</v>
      </c>
    </row>
    <row r="7" spans="1:49" x14ac:dyDescent="0.2">
      <c r="A7" s="241">
        <v>9257011</v>
      </c>
      <c r="B7" s="42" t="s">
        <v>70</v>
      </c>
      <c r="C7" s="43">
        <v>3</v>
      </c>
      <c r="D7" s="100">
        <f>'Funding Model'!$D$22</f>
        <v>314686.51772419503</v>
      </c>
      <c r="E7" s="100">
        <f>'Funding Model'!$E$22</f>
        <v>69201.680689977453</v>
      </c>
      <c r="F7" s="69"/>
      <c r="G7" s="69"/>
      <c r="H7" s="69"/>
      <c r="I7" s="69">
        <f>'Band Calculations'!U8</f>
        <v>431340.2745136476</v>
      </c>
      <c r="J7" s="100">
        <v>4911.5</v>
      </c>
      <c r="K7" s="100">
        <v>610.88158066056155</v>
      </c>
      <c r="L7" s="69">
        <f t="shared" si="0"/>
        <v>820750.85450848076</v>
      </c>
      <c r="M7" s="69" t="e">
        <f>#REF!</f>
        <v>#REF!</v>
      </c>
      <c r="N7" s="69" t="e">
        <f>#REF!</f>
        <v>#REF!</v>
      </c>
      <c r="O7" s="69" t="e">
        <f t="shared" si="1"/>
        <v>#REF!</v>
      </c>
      <c r="R7" s="142">
        <f>'Band Calculations'!V8</f>
        <v>41</v>
      </c>
      <c r="T7" s="151">
        <f t="shared" si="2"/>
        <v>20018.313524597092</v>
      </c>
      <c r="U7" s="151">
        <f t="shared" si="3"/>
        <v>410000</v>
      </c>
      <c r="V7" s="151">
        <f t="shared" si="4"/>
        <v>10018.313524597092</v>
      </c>
      <c r="W7" s="69" t="e">
        <f>#REF!</f>
        <v>#REF!</v>
      </c>
      <c r="X7" s="69" t="e">
        <f t="shared" si="23"/>
        <v>#REF!</v>
      </c>
      <c r="Y7" s="40"/>
      <c r="Z7" s="41"/>
      <c r="AA7" s="69">
        <f t="shared" si="5"/>
        <v>820750.85450848076</v>
      </c>
      <c r="AB7" s="215">
        <f>'Band Calculations'!I8</f>
        <v>38</v>
      </c>
      <c r="AC7" s="69">
        <f t="shared" si="6"/>
        <v>158333.33333333334</v>
      </c>
      <c r="AD7" s="69" t="e">
        <f t="shared" si="7"/>
        <v>#REF!</v>
      </c>
      <c r="AE7" s="215">
        <f>'Band Calculations'!O8</f>
        <v>39</v>
      </c>
      <c r="AF7" s="69">
        <f t="shared" si="8"/>
        <v>227500</v>
      </c>
      <c r="AG7" s="69" t="e">
        <f t="shared" si="9"/>
        <v>#REF!</v>
      </c>
      <c r="AH7" s="173" t="e">
        <f t="shared" si="10"/>
        <v>#REF!</v>
      </c>
      <c r="AI7" s="215">
        <f>'Band Calculations'!J8</f>
        <v>3</v>
      </c>
      <c r="AJ7" s="69">
        <f t="shared" si="11"/>
        <v>10000</v>
      </c>
      <c r="AK7" s="69" t="e">
        <f t="shared" si="12"/>
        <v>#REF!</v>
      </c>
      <c r="AL7" s="69">
        <f t="shared" si="13"/>
        <v>2744.25</v>
      </c>
      <c r="AM7" s="69" t="e">
        <f t="shared" si="14"/>
        <v>#REF!</v>
      </c>
      <c r="AN7" s="215">
        <f>'Band Calculations'!P8</f>
        <v>2</v>
      </c>
      <c r="AO7" s="69">
        <f t="shared" si="15"/>
        <v>12806.5</v>
      </c>
      <c r="AP7" s="69" t="e">
        <f t="shared" si="16"/>
        <v>#REF!</v>
      </c>
      <c r="AQ7" s="69">
        <f t="shared" si="17"/>
        <v>25550.75</v>
      </c>
      <c r="AR7" s="69" t="e">
        <f t="shared" si="18"/>
        <v>#REF!</v>
      </c>
      <c r="AS7" s="69">
        <f t="shared" si="19"/>
        <v>411384.08333333337</v>
      </c>
      <c r="AT7" s="69" t="e">
        <f t="shared" si="20"/>
        <v>#REF!</v>
      </c>
      <c r="AU7" s="69" t="e">
        <f t="shared" si="21"/>
        <v>#REF!</v>
      </c>
      <c r="AV7" s="41"/>
      <c r="AW7" s="69" t="e">
        <f t="shared" si="22"/>
        <v>#REF!</v>
      </c>
    </row>
    <row r="8" spans="1:49" x14ac:dyDescent="0.2">
      <c r="A8" s="241">
        <v>9257024</v>
      </c>
      <c r="B8" s="42" t="s">
        <v>71</v>
      </c>
      <c r="C8" s="43">
        <v>3</v>
      </c>
      <c r="D8" s="100">
        <f>'Funding Model'!$D$22</f>
        <v>314686.51772419503</v>
      </c>
      <c r="E8" s="100">
        <f>'Funding Model'!$E$22</f>
        <v>69201.680689977453</v>
      </c>
      <c r="F8" s="69"/>
      <c r="G8" s="69"/>
      <c r="H8" s="69"/>
      <c r="I8" s="69">
        <f>'Band Calculations'!U9</f>
        <v>413562.54341202579</v>
      </c>
      <c r="J8" s="100">
        <v>8483.5</v>
      </c>
      <c r="K8" s="100">
        <v>628.57156807430238</v>
      </c>
      <c r="L8" s="69">
        <f t="shared" si="0"/>
        <v>806562.81339427258</v>
      </c>
      <c r="M8" s="69" t="e">
        <f>#REF!</f>
        <v>#REF!</v>
      </c>
      <c r="N8" s="69" t="e">
        <f>#REF!</f>
        <v>#REF!</v>
      </c>
      <c r="O8" s="69" t="e">
        <f t="shared" si="1"/>
        <v>#REF!</v>
      </c>
      <c r="R8" s="142">
        <f>'Band Calculations'!V9</f>
        <v>47</v>
      </c>
      <c r="T8" s="151">
        <f t="shared" si="2"/>
        <v>17160.910923282394</v>
      </c>
      <c r="U8" s="151">
        <f t="shared" si="3"/>
        <v>470000</v>
      </c>
      <c r="V8" s="151">
        <f t="shared" si="4"/>
        <v>7160.9109232823939</v>
      </c>
      <c r="W8" s="69" t="e">
        <f>#REF!</f>
        <v>#REF!</v>
      </c>
      <c r="X8" s="69" t="e">
        <f t="shared" si="23"/>
        <v>#REF!</v>
      </c>
      <c r="Y8" s="40"/>
      <c r="Z8" s="41"/>
      <c r="AA8" s="69">
        <f t="shared" si="5"/>
        <v>806562.81339427258</v>
      </c>
      <c r="AB8" s="215">
        <f>'Band Calculations'!I9</f>
        <v>38</v>
      </c>
      <c r="AC8" s="69">
        <f t="shared" si="6"/>
        <v>158333.33333333334</v>
      </c>
      <c r="AD8" s="69" t="e">
        <f t="shared" si="7"/>
        <v>#REF!</v>
      </c>
      <c r="AE8" s="215">
        <f>'Band Calculations'!O9</f>
        <v>36</v>
      </c>
      <c r="AF8" s="69">
        <f t="shared" si="8"/>
        <v>210000</v>
      </c>
      <c r="AG8" s="69" t="e">
        <f t="shared" si="9"/>
        <v>#REF!</v>
      </c>
      <c r="AH8" s="173" t="e">
        <f t="shared" si="10"/>
        <v>#REF!</v>
      </c>
      <c r="AI8" s="215">
        <f>'Band Calculations'!J9</f>
        <v>9</v>
      </c>
      <c r="AJ8" s="69">
        <f t="shared" si="11"/>
        <v>30000</v>
      </c>
      <c r="AK8" s="69" t="e">
        <f t="shared" si="12"/>
        <v>#REF!</v>
      </c>
      <c r="AL8" s="69">
        <f t="shared" si="13"/>
        <v>8232.75</v>
      </c>
      <c r="AM8" s="69" t="e">
        <f t="shared" si="14"/>
        <v>#REF!</v>
      </c>
      <c r="AN8" s="215">
        <f>'Band Calculations'!P9</f>
        <v>11</v>
      </c>
      <c r="AO8" s="69">
        <f t="shared" si="15"/>
        <v>70435.75</v>
      </c>
      <c r="AP8" s="69" t="e">
        <f t="shared" si="16"/>
        <v>#REF!</v>
      </c>
      <c r="AQ8" s="69">
        <f t="shared" si="17"/>
        <v>108668.5</v>
      </c>
      <c r="AR8" s="69" t="e">
        <f t="shared" si="18"/>
        <v>#REF!</v>
      </c>
      <c r="AS8" s="69">
        <f t="shared" si="19"/>
        <v>477001.83333333337</v>
      </c>
      <c r="AT8" s="69" t="e">
        <f t="shared" si="20"/>
        <v>#REF!</v>
      </c>
      <c r="AU8" s="69" t="e">
        <f t="shared" si="21"/>
        <v>#REF!</v>
      </c>
      <c r="AV8" s="41"/>
      <c r="AW8" s="69" t="e">
        <f t="shared" si="22"/>
        <v>#REF!</v>
      </c>
    </row>
    <row r="9" spans="1:49" x14ac:dyDescent="0.2">
      <c r="A9" s="241">
        <v>9257008</v>
      </c>
      <c r="B9" s="42" t="s">
        <v>73</v>
      </c>
      <c r="C9" s="43">
        <v>3</v>
      </c>
      <c r="D9" s="100">
        <f>'Funding Model'!D22</f>
        <v>314686.51772419503</v>
      </c>
      <c r="E9" s="100">
        <f>'Funding Model'!E22</f>
        <v>69201.680689977453</v>
      </c>
      <c r="F9" s="69"/>
      <c r="G9" s="69"/>
      <c r="H9" s="69"/>
      <c r="I9" s="69">
        <f>'Band Calculations'!U12</f>
        <v>763633.2768432966</v>
      </c>
      <c r="J9" s="100">
        <v>10716</v>
      </c>
      <c r="K9" s="100">
        <v>737.65982379237016</v>
      </c>
      <c r="L9" s="69">
        <f t="shared" si="0"/>
        <v>1158975.1350812614</v>
      </c>
      <c r="M9" s="69" t="e">
        <f>#REF!</f>
        <v>#REF!</v>
      </c>
      <c r="N9" s="69" t="e">
        <f>#REF!</f>
        <v>#REF!</v>
      </c>
      <c r="O9" s="69" t="e">
        <f t="shared" si="1"/>
        <v>#REF!</v>
      </c>
      <c r="R9" s="142">
        <f>'Band Calculations'!V12</f>
        <v>84</v>
      </c>
      <c r="T9" s="151">
        <f t="shared" si="2"/>
        <v>13797.323036681682</v>
      </c>
      <c r="U9" s="151">
        <f t="shared" si="3"/>
        <v>840000</v>
      </c>
      <c r="V9" s="151">
        <f t="shared" si="4"/>
        <v>3797.3230366816824</v>
      </c>
      <c r="W9" s="69" t="e">
        <f>#REF!</f>
        <v>#REF!</v>
      </c>
      <c r="X9" s="69" t="e">
        <f t="shared" si="23"/>
        <v>#REF!</v>
      </c>
      <c r="Y9" s="40"/>
      <c r="Z9" s="41"/>
      <c r="AA9" s="69">
        <f t="shared" si="5"/>
        <v>1158975.1350812614</v>
      </c>
      <c r="AB9" s="215">
        <f>'Band Calculations'!I12</f>
        <v>84</v>
      </c>
      <c r="AC9" s="69">
        <f t="shared" si="6"/>
        <v>350000</v>
      </c>
      <c r="AD9" s="69" t="e">
        <f t="shared" si="7"/>
        <v>#REF!</v>
      </c>
      <c r="AE9" s="215">
        <f>'Band Calculations'!O12</f>
        <v>84</v>
      </c>
      <c r="AF9" s="69">
        <f t="shared" si="8"/>
        <v>490000.00000000006</v>
      </c>
      <c r="AG9" s="69" t="e">
        <f t="shared" si="9"/>
        <v>#REF!</v>
      </c>
      <c r="AH9" s="173" t="e">
        <f t="shared" si="10"/>
        <v>#REF!</v>
      </c>
      <c r="AI9" s="215">
        <f>'Band Calculations'!J12</f>
        <v>0</v>
      </c>
      <c r="AJ9" s="69">
        <f t="shared" si="11"/>
        <v>0</v>
      </c>
      <c r="AK9" s="69" t="e">
        <f t="shared" si="12"/>
        <v>#REF!</v>
      </c>
      <c r="AL9" s="69">
        <f t="shared" si="13"/>
        <v>0</v>
      </c>
      <c r="AM9" s="69" t="e">
        <f t="shared" si="14"/>
        <v>#REF!</v>
      </c>
      <c r="AN9" s="215">
        <f>'Band Calculations'!P12</f>
        <v>0</v>
      </c>
      <c r="AO9" s="69">
        <f t="shared" si="15"/>
        <v>0</v>
      </c>
      <c r="AP9" s="69" t="e">
        <f t="shared" si="16"/>
        <v>#REF!</v>
      </c>
      <c r="AQ9" s="69">
        <f t="shared" si="17"/>
        <v>0</v>
      </c>
      <c r="AR9" s="69" t="e">
        <f t="shared" si="18"/>
        <v>#REF!</v>
      </c>
      <c r="AS9" s="69">
        <f t="shared" si="19"/>
        <v>840000</v>
      </c>
      <c r="AT9" s="69" t="e">
        <f t="shared" si="20"/>
        <v>#REF!</v>
      </c>
      <c r="AU9" s="69" t="e">
        <f t="shared" si="21"/>
        <v>#REF!</v>
      </c>
      <c r="AV9" s="41"/>
      <c r="AW9" s="69" t="e">
        <f t="shared" si="22"/>
        <v>#REF!</v>
      </c>
    </row>
    <row r="10" spans="1:49" x14ac:dyDescent="0.2">
      <c r="A10" s="241">
        <v>9257002</v>
      </c>
      <c r="B10" s="42" t="s">
        <v>75</v>
      </c>
      <c r="C10" s="43">
        <v>4</v>
      </c>
      <c r="D10" s="100">
        <f>'Funding Model'!$D$23</f>
        <v>405763.82046267512</v>
      </c>
      <c r="E10" s="100">
        <f>'Funding Model'!$E$23</f>
        <v>88790.687513148558</v>
      </c>
      <c r="F10" s="69"/>
      <c r="G10" s="69"/>
      <c r="H10" s="69"/>
      <c r="I10" s="69">
        <f>'Band Calculations'!U14</f>
        <v>953428.91014556075</v>
      </c>
      <c r="J10" s="100">
        <v>20092.5</v>
      </c>
      <c r="K10" s="100">
        <v>873.28306063104901</v>
      </c>
      <c r="L10" s="69">
        <f t="shared" si="0"/>
        <v>1468949.2011820155</v>
      </c>
      <c r="M10" s="69" t="e">
        <f>#REF!</f>
        <v>#REF!</v>
      </c>
      <c r="N10" s="69" t="e">
        <f>#REF!</f>
        <v>#REF!</v>
      </c>
      <c r="O10" s="69" t="e">
        <f t="shared" si="1"/>
        <v>#REF!</v>
      </c>
      <c r="R10" s="142">
        <f>'Band Calculations'!V14</f>
        <v>130</v>
      </c>
      <c r="T10" s="151">
        <f t="shared" si="2"/>
        <v>11299.609239861658</v>
      </c>
      <c r="U10" s="151">
        <f t="shared" si="3"/>
        <v>1300000</v>
      </c>
      <c r="V10" s="151">
        <f t="shared" si="4"/>
        <v>1299.6092398616584</v>
      </c>
      <c r="W10" s="69" t="e">
        <f>#REF!</f>
        <v>#REF!</v>
      </c>
      <c r="X10" s="69" t="e">
        <f t="shared" si="23"/>
        <v>#REF!</v>
      </c>
      <c r="Y10" s="40"/>
      <c r="Z10" s="41"/>
      <c r="AA10" s="69">
        <f t="shared" si="5"/>
        <v>1468949.2011820155</v>
      </c>
      <c r="AB10" s="215">
        <f>'Band Calculations'!I14</f>
        <v>130</v>
      </c>
      <c r="AC10" s="69">
        <f t="shared" si="6"/>
        <v>541666.66666666674</v>
      </c>
      <c r="AD10" s="69" t="e">
        <f t="shared" si="7"/>
        <v>#REF!</v>
      </c>
      <c r="AE10" s="215">
        <f>'Band Calculations'!O14</f>
        <v>130</v>
      </c>
      <c r="AF10" s="69">
        <f t="shared" si="8"/>
        <v>758333.33333333337</v>
      </c>
      <c r="AG10" s="69" t="e">
        <f t="shared" si="9"/>
        <v>#REF!</v>
      </c>
      <c r="AH10" s="173" t="e">
        <f t="shared" si="10"/>
        <v>#REF!</v>
      </c>
      <c r="AI10" s="215">
        <f>'Band Calculations'!J14</f>
        <v>0</v>
      </c>
      <c r="AJ10" s="69">
        <f t="shared" si="11"/>
        <v>0</v>
      </c>
      <c r="AK10" s="69" t="e">
        <f t="shared" si="12"/>
        <v>#REF!</v>
      </c>
      <c r="AL10" s="69">
        <f t="shared" si="13"/>
        <v>0</v>
      </c>
      <c r="AM10" s="69" t="e">
        <f t="shared" si="14"/>
        <v>#REF!</v>
      </c>
      <c r="AN10" s="215">
        <f>'Band Calculations'!P14</f>
        <v>0</v>
      </c>
      <c r="AO10" s="69">
        <f t="shared" si="15"/>
        <v>0</v>
      </c>
      <c r="AP10" s="69" t="e">
        <f t="shared" si="16"/>
        <v>#REF!</v>
      </c>
      <c r="AQ10" s="69">
        <f t="shared" si="17"/>
        <v>0</v>
      </c>
      <c r="AR10" s="69" t="e">
        <f t="shared" si="18"/>
        <v>#REF!</v>
      </c>
      <c r="AS10" s="69">
        <f t="shared" si="19"/>
        <v>1300000</v>
      </c>
      <c r="AT10" s="69" t="e">
        <f t="shared" si="20"/>
        <v>#REF!</v>
      </c>
      <c r="AU10" s="69" t="e">
        <f t="shared" si="21"/>
        <v>#REF!</v>
      </c>
      <c r="AV10" s="41"/>
      <c r="AW10" s="69" t="e">
        <f t="shared" si="22"/>
        <v>#REF!</v>
      </c>
    </row>
    <row r="11" spans="1:49" x14ac:dyDescent="0.2">
      <c r="A11" s="241">
        <v>9257009</v>
      </c>
      <c r="B11" s="42" t="s">
        <v>76</v>
      </c>
      <c r="C11" s="43">
        <v>5</v>
      </c>
      <c r="D11" s="176">
        <v>418723</v>
      </c>
      <c r="E11" s="176">
        <v>117027</v>
      </c>
      <c r="F11" s="69"/>
      <c r="G11" s="69"/>
      <c r="H11" s="69"/>
      <c r="I11" s="69">
        <f>'Band Calculations'!U15</f>
        <v>998240.72223642375</v>
      </c>
      <c r="J11" s="100">
        <v>19199.5</v>
      </c>
      <c r="K11" s="100">
        <v>876.23139186667242</v>
      </c>
      <c r="L11" s="69">
        <f t="shared" si="0"/>
        <v>1554066.4536282904</v>
      </c>
      <c r="M11" s="69" t="e">
        <f>#REF!</f>
        <v>#REF!</v>
      </c>
      <c r="N11" s="69" t="e">
        <f>#REF!</f>
        <v>#REF!</v>
      </c>
      <c r="O11" s="69" t="e">
        <f t="shared" si="1"/>
        <v>#REF!</v>
      </c>
      <c r="R11" s="142">
        <f>'Band Calculations'!V15</f>
        <v>131</v>
      </c>
      <c r="T11" s="151">
        <f t="shared" si="2"/>
        <v>11863.102699452598</v>
      </c>
      <c r="U11" s="151">
        <f t="shared" si="3"/>
        <v>1310000</v>
      </c>
      <c r="V11" s="151">
        <f t="shared" si="4"/>
        <v>1863.1026994525982</v>
      </c>
      <c r="W11" s="69" t="e">
        <f>#REF!</f>
        <v>#REF!</v>
      </c>
      <c r="X11" s="69" t="e">
        <f t="shared" si="23"/>
        <v>#REF!</v>
      </c>
      <c r="Y11" s="40"/>
      <c r="Z11" s="41"/>
      <c r="AA11" s="69">
        <f t="shared" si="5"/>
        <v>1554066.4536282904</v>
      </c>
      <c r="AB11" s="215">
        <f>'Band Calculations'!I15</f>
        <v>131</v>
      </c>
      <c r="AC11" s="69">
        <f t="shared" si="6"/>
        <v>545833.33333333337</v>
      </c>
      <c r="AD11" s="69" t="e">
        <f t="shared" si="7"/>
        <v>#REF!</v>
      </c>
      <c r="AE11" s="215">
        <f>'Band Calculations'!O15</f>
        <v>131</v>
      </c>
      <c r="AF11" s="69">
        <f t="shared" si="8"/>
        <v>764166.66666666674</v>
      </c>
      <c r="AG11" s="69" t="e">
        <f t="shared" si="9"/>
        <v>#REF!</v>
      </c>
      <c r="AH11" s="173" t="e">
        <f t="shared" si="10"/>
        <v>#REF!</v>
      </c>
      <c r="AI11" s="215">
        <f>'Band Calculations'!J15</f>
        <v>0</v>
      </c>
      <c r="AJ11" s="69">
        <f t="shared" si="11"/>
        <v>0</v>
      </c>
      <c r="AK11" s="69" t="e">
        <f t="shared" si="12"/>
        <v>#REF!</v>
      </c>
      <c r="AL11" s="69">
        <f t="shared" si="13"/>
        <v>0</v>
      </c>
      <c r="AM11" s="69" t="e">
        <f t="shared" si="14"/>
        <v>#REF!</v>
      </c>
      <c r="AN11" s="215">
        <f>'Band Calculations'!P15</f>
        <v>0</v>
      </c>
      <c r="AO11" s="69">
        <f t="shared" si="15"/>
        <v>0</v>
      </c>
      <c r="AP11" s="69" t="e">
        <f t="shared" si="16"/>
        <v>#REF!</v>
      </c>
      <c r="AQ11" s="69">
        <f t="shared" si="17"/>
        <v>0</v>
      </c>
      <c r="AR11" s="69" t="e">
        <f t="shared" si="18"/>
        <v>#REF!</v>
      </c>
      <c r="AS11" s="69">
        <f t="shared" si="19"/>
        <v>1310000</v>
      </c>
      <c r="AT11" s="69" t="e">
        <f t="shared" si="20"/>
        <v>#REF!</v>
      </c>
      <c r="AU11" s="69" t="e">
        <f t="shared" si="21"/>
        <v>#REF!</v>
      </c>
      <c r="AV11" s="41"/>
      <c r="AW11" s="69" t="e">
        <f t="shared" si="22"/>
        <v>#REF!</v>
      </c>
    </row>
    <row r="12" spans="1:49" x14ac:dyDescent="0.2">
      <c r="A12" s="241">
        <v>9257028</v>
      </c>
      <c r="B12" s="42" t="s">
        <v>77</v>
      </c>
      <c r="C12" s="43">
        <v>5</v>
      </c>
      <c r="D12" s="176">
        <v>418723</v>
      </c>
      <c r="E12" s="176">
        <v>117027</v>
      </c>
      <c r="F12" s="69"/>
      <c r="G12" s="69"/>
      <c r="H12" s="69"/>
      <c r="I12" s="69">
        <f>'Band Calculations'!U19</f>
        <v>772394.9035265795</v>
      </c>
      <c r="J12" s="100">
        <v>9823</v>
      </c>
      <c r="K12" s="100">
        <v>705.22818020051216</v>
      </c>
      <c r="L12" s="69">
        <f t="shared" si="0"/>
        <v>1318673.1317067801</v>
      </c>
      <c r="M12" s="69" t="e">
        <f>#REF!</f>
        <v>#REF!</v>
      </c>
      <c r="N12" s="69" t="e">
        <f>#REF!</f>
        <v>#REF!</v>
      </c>
      <c r="O12" s="69" t="e">
        <f t="shared" si="1"/>
        <v>#REF!</v>
      </c>
      <c r="R12" s="142">
        <f>'Band Calculations'!V19</f>
        <v>73</v>
      </c>
      <c r="T12" s="151">
        <f t="shared" si="2"/>
        <v>18064.015502832604</v>
      </c>
      <c r="U12" s="151">
        <f t="shared" si="3"/>
        <v>730000</v>
      </c>
      <c r="V12" s="151">
        <f t="shared" si="4"/>
        <v>8064.0155028326044</v>
      </c>
      <c r="W12" s="69" t="e">
        <f>#REF!</f>
        <v>#REF!</v>
      </c>
      <c r="X12" s="69" t="e">
        <f t="shared" si="23"/>
        <v>#REF!</v>
      </c>
      <c r="Y12" s="40"/>
      <c r="Z12" s="41"/>
      <c r="AA12" s="69">
        <f t="shared" si="5"/>
        <v>1318673.1317067801</v>
      </c>
      <c r="AB12" s="215">
        <f>'Band Calculations'!I19</f>
        <v>59</v>
      </c>
      <c r="AC12" s="69">
        <f t="shared" si="6"/>
        <v>245833.33333333334</v>
      </c>
      <c r="AD12" s="69" t="e">
        <f t="shared" si="7"/>
        <v>#REF!</v>
      </c>
      <c r="AE12" s="215">
        <f>'Band Calculations'!O19</f>
        <v>56</v>
      </c>
      <c r="AF12" s="69">
        <f t="shared" si="8"/>
        <v>326666.66666666669</v>
      </c>
      <c r="AG12" s="69" t="e">
        <f t="shared" si="9"/>
        <v>#REF!</v>
      </c>
      <c r="AH12" s="173" t="e">
        <f t="shared" si="10"/>
        <v>#REF!</v>
      </c>
      <c r="AI12" s="215">
        <f>'Band Calculations'!J19</f>
        <v>14</v>
      </c>
      <c r="AJ12" s="69">
        <f t="shared" si="11"/>
        <v>46666.666666666664</v>
      </c>
      <c r="AK12" s="69" t="e">
        <f t="shared" si="12"/>
        <v>#REF!</v>
      </c>
      <c r="AL12" s="69">
        <f t="shared" si="13"/>
        <v>12806.5</v>
      </c>
      <c r="AM12" s="69" t="e">
        <f t="shared" si="14"/>
        <v>#REF!</v>
      </c>
      <c r="AN12" s="215">
        <f>'Band Calculations'!P19</f>
        <v>17</v>
      </c>
      <c r="AO12" s="69">
        <f t="shared" si="15"/>
        <v>108855.25</v>
      </c>
      <c r="AP12" s="69" t="e">
        <f t="shared" si="16"/>
        <v>#REF!</v>
      </c>
      <c r="AQ12" s="69">
        <f t="shared" si="17"/>
        <v>168328.41666666666</v>
      </c>
      <c r="AR12" s="69" t="e">
        <f t="shared" si="18"/>
        <v>#REF!</v>
      </c>
      <c r="AS12" s="69">
        <f t="shared" si="19"/>
        <v>740828.41666666663</v>
      </c>
      <c r="AT12" s="69" t="e">
        <f t="shared" si="20"/>
        <v>#REF!</v>
      </c>
      <c r="AU12" s="69" t="e">
        <f t="shared" si="21"/>
        <v>#REF!</v>
      </c>
      <c r="AV12" s="41"/>
      <c r="AW12" s="69" t="e">
        <f t="shared" si="22"/>
        <v>#REF!</v>
      </c>
    </row>
    <row r="13" spans="1:49" x14ac:dyDescent="0.2">
      <c r="A13" s="241">
        <v>9257021</v>
      </c>
      <c r="B13" s="42" t="s">
        <v>78</v>
      </c>
      <c r="C13" s="43">
        <v>5</v>
      </c>
      <c r="D13" s="100">
        <f>'Funding Model'!$D$24</f>
        <v>418723.18610831723</v>
      </c>
      <c r="E13" s="100">
        <f>'Funding Model'!$E$24</f>
        <v>117027.3922528728</v>
      </c>
      <c r="F13" s="69"/>
      <c r="G13" s="69"/>
      <c r="H13" s="69"/>
      <c r="I13" s="69">
        <f>'Band Calculations'!U20</f>
        <v>1057721.8869930455</v>
      </c>
      <c r="J13" s="100">
        <v>23664.5</v>
      </c>
      <c r="K13" s="100">
        <v>908.66303545853043</v>
      </c>
      <c r="L13" s="69">
        <f t="shared" si="0"/>
        <v>1618045.6283896938</v>
      </c>
      <c r="M13" s="69" t="e">
        <f>#REF!</f>
        <v>#REF!</v>
      </c>
      <c r="N13" s="69" t="e">
        <f>#REF!</f>
        <v>#REF!</v>
      </c>
      <c r="O13" s="69" t="e">
        <f t="shared" si="1"/>
        <v>#REF!</v>
      </c>
      <c r="R13" s="142">
        <f>'Band Calculations'!V20</f>
        <v>142</v>
      </c>
      <c r="T13" s="151">
        <f t="shared" si="2"/>
        <v>11394.687523871084</v>
      </c>
      <c r="U13" s="151">
        <f t="shared" si="3"/>
        <v>1420000</v>
      </c>
      <c r="V13" s="151">
        <f t="shared" si="4"/>
        <v>1394.6875238710836</v>
      </c>
      <c r="W13" s="69" t="e">
        <f>#REF!</f>
        <v>#REF!</v>
      </c>
      <c r="X13" s="69" t="e">
        <f t="shared" si="23"/>
        <v>#REF!</v>
      </c>
      <c r="Y13" s="40"/>
      <c r="Z13" s="41"/>
      <c r="AA13" s="69">
        <f t="shared" si="5"/>
        <v>1618045.6283896938</v>
      </c>
      <c r="AB13" s="215">
        <f>'Band Calculations'!I20</f>
        <v>142</v>
      </c>
      <c r="AC13" s="69">
        <f t="shared" si="6"/>
        <v>591666.66666666674</v>
      </c>
      <c r="AD13" s="69" t="e">
        <f t="shared" si="7"/>
        <v>#REF!</v>
      </c>
      <c r="AE13" s="215">
        <f>'Band Calculations'!O20</f>
        <v>142</v>
      </c>
      <c r="AF13" s="69">
        <f t="shared" si="8"/>
        <v>828333.33333333337</v>
      </c>
      <c r="AG13" s="69" t="e">
        <f t="shared" si="9"/>
        <v>#REF!</v>
      </c>
      <c r="AH13" s="173" t="e">
        <f t="shared" si="10"/>
        <v>#REF!</v>
      </c>
      <c r="AI13" s="215">
        <f>'Band Calculations'!J20</f>
        <v>0</v>
      </c>
      <c r="AJ13" s="69">
        <f t="shared" si="11"/>
        <v>0</v>
      </c>
      <c r="AK13" s="69" t="e">
        <f t="shared" si="12"/>
        <v>#REF!</v>
      </c>
      <c r="AL13" s="69">
        <f t="shared" si="13"/>
        <v>0</v>
      </c>
      <c r="AM13" s="69" t="e">
        <f t="shared" si="14"/>
        <v>#REF!</v>
      </c>
      <c r="AN13" s="215">
        <f>'Band Calculations'!P20</f>
        <v>0</v>
      </c>
      <c r="AO13" s="69">
        <f t="shared" si="15"/>
        <v>0</v>
      </c>
      <c r="AP13" s="69" t="e">
        <f t="shared" si="16"/>
        <v>#REF!</v>
      </c>
      <c r="AQ13" s="69">
        <f t="shared" si="17"/>
        <v>0</v>
      </c>
      <c r="AR13" s="69" t="e">
        <f t="shared" si="18"/>
        <v>#REF!</v>
      </c>
      <c r="AS13" s="69">
        <f t="shared" si="19"/>
        <v>1420000</v>
      </c>
      <c r="AT13" s="69" t="e">
        <f t="shared" si="20"/>
        <v>#REF!</v>
      </c>
      <c r="AU13" s="69" t="e">
        <f t="shared" si="21"/>
        <v>#REF!</v>
      </c>
      <c r="AV13" s="41"/>
      <c r="AW13" s="69" t="e">
        <f t="shared" si="22"/>
        <v>#REF!</v>
      </c>
    </row>
    <row r="14" spans="1:49" x14ac:dyDescent="0.2">
      <c r="A14" s="241">
        <v>9257015</v>
      </c>
      <c r="B14" s="42" t="s">
        <v>57</v>
      </c>
      <c r="C14" s="43">
        <v>5</v>
      </c>
      <c r="D14" s="100">
        <f>'Funding Model'!$D$24</f>
        <v>418723.18610831723</v>
      </c>
      <c r="E14" s="100">
        <f>'Funding Model'!$E$24</f>
        <v>117027.3922528728</v>
      </c>
      <c r="F14" s="69"/>
      <c r="G14" s="69"/>
      <c r="H14" s="69">
        <f>(7/12)*29207</f>
        <v>17037.416666666668</v>
      </c>
      <c r="I14" s="69">
        <f>'Band Calculations'!U21</f>
        <v>1707600.4078561282</v>
      </c>
      <c r="J14" s="100">
        <v>33934</v>
      </c>
      <c r="K14" s="100">
        <v>1056.0795972397032</v>
      </c>
      <c r="L14" s="69">
        <f t="shared" si="0"/>
        <v>2295378.4824812249</v>
      </c>
      <c r="M14" s="69" t="e">
        <f>#REF!</f>
        <v>#REF!</v>
      </c>
      <c r="N14" s="69" t="e">
        <f>#REF!</f>
        <v>#REF!</v>
      </c>
      <c r="O14" s="69" t="e">
        <f t="shared" si="1"/>
        <v>#REF!</v>
      </c>
      <c r="R14" s="142">
        <f>'Band Calculations'!V21</f>
        <v>230.83333333333337</v>
      </c>
      <c r="T14" s="151">
        <f t="shared" si="2"/>
        <v>9943.8779024457381</v>
      </c>
      <c r="U14" s="151">
        <f t="shared" si="3"/>
        <v>2308333.3333333335</v>
      </c>
      <c r="V14" s="151">
        <f t="shared" si="4"/>
        <v>-56.122097554261927</v>
      </c>
      <c r="W14" s="69" t="e">
        <f>#REF!</f>
        <v>#REF!</v>
      </c>
      <c r="X14" s="69" t="e">
        <f t="shared" si="23"/>
        <v>#REF!</v>
      </c>
      <c r="Y14" s="40"/>
      <c r="Z14" s="69" t="e">
        <f>(X14-V14)*R14</f>
        <v>#REF!</v>
      </c>
      <c r="AA14" s="69" t="e">
        <f t="shared" si="5"/>
        <v>#REF!</v>
      </c>
      <c r="AB14" s="215">
        <f>'Band Calculations'!I21</f>
        <v>211</v>
      </c>
      <c r="AC14" s="69">
        <f t="shared" si="6"/>
        <v>879166.66666666674</v>
      </c>
      <c r="AD14" s="69" t="e">
        <f t="shared" si="7"/>
        <v>#REF!</v>
      </c>
      <c r="AE14" s="215">
        <f>'Band Calculations'!O21</f>
        <v>228</v>
      </c>
      <c r="AF14" s="69">
        <f t="shared" si="8"/>
        <v>1330000</v>
      </c>
      <c r="AG14" s="69" t="e">
        <f t="shared" si="9"/>
        <v>#REF!</v>
      </c>
      <c r="AH14" s="173" t="e">
        <f t="shared" si="10"/>
        <v>#REF!</v>
      </c>
      <c r="AI14" s="215">
        <f>'Band Calculations'!J21</f>
        <v>0</v>
      </c>
      <c r="AJ14" s="69">
        <f t="shared" si="11"/>
        <v>0</v>
      </c>
      <c r="AK14" s="69" t="e">
        <f t="shared" si="12"/>
        <v>#REF!</v>
      </c>
      <c r="AL14" s="69">
        <f t="shared" si="13"/>
        <v>0</v>
      </c>
      <c r="AM14" s="69" t="e">
        <f t="shared" si="14"/>
        <v>#REF!</v>
      </c>
      <c r="AN14" s="215">
        <f>'Band Calculations'!P21</f>
        <v>17</v>
      </c>
      <c r="AO14" s="69">
        <f t="shared" si="15"/>
        <v>108855.25</v>
      </c>
      <c r="AP14" s="69" t="e">
        <f t="shared" si="16"/>
        <v>#REF!</v>
      </c>
      <c r="AQ14" s="69">
        <f t="shared" si="17"/>
        <v>108855.25</v>
      </c>
      <c r="AR14" s="69" t="e">
        <f t="shared" si="18"/>
        <v>#REF!</v>
      </c>
      <c r="AS14" s="69">
        <f t="shared" si="19"/>
        <v>2318021.916666667</v>
      </c>
      <c r="AT14" s="69" t="e">
        <f t="shared" si="20"/>
        <v>#REF!</v>
      </c>
      <c r="AU14" s="100" t="e">
        <f t="shared" si="21"/>
        <v>#REF!</v>
      </c>
      <c r="AV14" s="41"/>
      <c r="AW14" s="69" t="e">
        <f t="shared" si="22"/>
        <v>#REF!</v>
      </c>
    </row>
    <row r="15" spans="1:49" x14ac:dyDescent="0.2">
      <c r="A15" s="241">
        <v>9257017</v>
      </c>
      <c r="B15" s="203" t="s">
        <v>79</v>
      </c>
      <c r="C15" s="204">
        <v>5</v>
      </c>
      <c r="D15" s="205">
        <f>(5/12)*'Funding Model'!$D$24</f>
        <v>174467.99421179885</v>
      </c>
      <c r="E15" s="205">
        <f>(5/12)*'Funding Model'!$E$24</f>
        <v>48761.413438697004</v>
      </c>
      <c r="F15" s="205"/>
      <c r="G15" s="205"/>
      <c r="H15" s="205">
        <f>(5/12)*29207</f>
        <v>12169.583333333334</v>
      </c>
      <c r="I15" s="205">
        <f>'Band Calculations'!U22</f>
        <v>147253.4775666777</v>
      </c>
      <c r="J15" s="205">
        <f>(5/12)*7144</f>
        <v>2976.666666666667</v>
      </c>
      <c r="K15" s="205">
        <v>690.48652402239486</v>
      </c>
      <c r="L15" s="205">
        <f t="shared" si="0"/>
        <v>386319.62174119597</v>
      </c>
      <c r="M15" s="69" t="e">
        <f>#REF!</f>
        <v>#REF!</v>
      </c>
      <c r="N15" s="69" t="e">
        <f>#REF!</f>
        <v>#REF!</v>
      </c>
      <c r="O15" s="69" t="e">
        <f t="shared" si="1"/>
        <v>#REF!</v>
      </c>
      <c r="R15" s="206">
        <f>'Band Calculations'!V22</f>
        <v>15.416666666666668</v>
      </c>
      <c r="T15" s="151">
        <f t="shared" si="2"/>
        <v>25058.570058888385</v>
      </c>
      <c r="U15" s="151">
        <f t="shared" si="3"/>
        <v>154166.66666666669</v>
      </c>
      <c r="V15" s="151">
        <f t="shared" si="4"/>
        <v>15058.570058888385</v>
      </c>
      <c r="W15" s="69" t="e">
        <f>#REF!</f>
        <v>#REF!</v>
      </c>
      <c r="X15" s="69" t="e">
        <f t="shared" si="23"/>
        <v>#REF!</v>
      </c>
      <c r="Y15" s="40"/>
      <c r="Z15" s="69"/>
      <c r="AA15" s="69">
        <f t="shared" si="5"/>
        <v>386319.62174119597</v>
      </c>
      <c r="AB15" s="215">
        <f>'Band Calculations'!I22</f>
        <v>25</v>
      </c>
      <c r="AC15" s="69">
        <f t="shared" si="6"/>
        <v>104166.66666666667</v>
      </c>
      <c r="AD15" s="69" t="e">
        <f t="shared" si="7"/>
        <v>#REF!</v>
      </c>
      <c r="AE15" s="215">
        <f>'Band Calculations'!O22</f>
        <v>0</v>
      </c>
      <c r="AF15" s="69">
        <f t="shared" si="8"/>
        <v>0</v>
      </c>
      <c r="AG15" s="69" t="e">
        <f t="shared" si="9"/>
        <v>#REF!</v>
      </c>
      <c r="AH15" s="173" t="e">
        <f t="shared" si="10"/>
        <v>#REF!</v>
      </c>
      <c r="AI15" s="215">
        <f>'Band Calculations'!J22</f>
        <v>12</v>
      </c>
      <c r="AJ15" s="69">
        <f t="shared" si="11"/>
        <v>40000</v>
      </c>
      <c r="AK15" s="69" t="e">
        <f t="shared" si="12"/>
        <v>#REF!</v>
      </c>
      <c r="AL15" s="69">
        <f t="shared" si="13"/>
        <v>10977</v>
      </c>
      <c r="AM15" s="69" t="e">
        <f t="shared" si="14"/>
        <v>#REF!</v>
      </c>
      <c r="AN15" s="215">
        <f>'Band Calculations'!P22</f>
        <v>0</v>
      </c>
      <c r="AO15" s="69">
        <f t="shared" si="15"/>
        <v>0</v>
      </c>
      <c r="AP15" s="69" t="e">
        <f t="shared" si="16"/>
        <v>#REF!</v>
      </c>
      <c r="AQ15" s="69">
        <f t="shared" si="17"/>
        <v>50977</v>
      </c>
      <c r="AR15" s="69" t="e">
        <f t="shared" si="18"/>
        <v>#REF!</v>
      </c>
      <c r="AS15" s="69">
        <f t="shared" si="19"/>
        <v>155143.66666666669</v>
      </c>
      <c r="AT15" s="69" t="e">
        <f t="shared" si="20"/>
        <v>#REF!</v>
      </c>
      <c r="AU15" s="100" t="e">
        <f t="shared" si="21"/>
        <v>#REF!</v>
      </c>
      <c r="AV15" s="41"/>
      <c r="AW15" s="69" t="e">
        <f t="shared" si="22"/>
        <v>#REF!</v>
      </c>
    </row>
    <row r="16" spans="1:49" x14ac:dyDescent="0.2">
      <c r="A16" s="241">
        <v>9257016</v>
      </c>
      <c r="B16" s="42" t="s">
        <v>80</v>
      </c>
      <c r="C16" s="43">
        <v>6</v>
      </c>
      <c r="D16" s="100">
        <f>'Funding Model'!D25</f>
        <v>493762.11190507573</v>
      </c>
      <c r="E16" s="100">
        <f>'Funding Model'!E25</f>
        <v>131719.7894229154</v>
      </c>
      <c r="F16" s="69"/>
      <c r="G16" s="69"/>
      <c r="H16" s="69"/>
      <c r="I16" s="69">
        <f>'Band Calculations'!U23</f>
        <v>1449833.142735743</v>
      </c>
      <c r="J16" s="100">
        <v>12055.5</v>
      </c>
      <c r="K16" s="100">
        <v>832.00642333232065</v>
      </c>
      <c r="L16" s="69">
        <f t="shared" si="0"/>
        <v>2088202.5504870664</v>
      </c>
      <c r="M16" s="69" t="e">
        <f>#REF!</f>
        <v>#REF!</v>
      </c>
      <c r="N16" s="69" t="e">
        <f>#REF!-#REF!</f>
        <v>#REF!</v>
      </c>
      <c r="O16" s="69" t="e">
        <f t="shared" si="1"/>
        <v>#REF!</v>
      </c>
      <c r="R16" s="142">
        <f>'Band Calculations'!V23</f>
        <v>129</v>
      </c>
      <c r="T16" s="151">
        <f t="shared" si="2"/>
        <v>16187.616670442376</v>
      </c>
      <c r="U16" s="151">
        <f t="shared" si="3"/>
        <v>1290000</v>
      </c>
      <c r="V16" s="151">
        <f t="shared" si="4"/>
        <v>6187.6166704423758</v>
      </c>
      <c r="W16" s="69" t="e">
        <f>#REF!</f>
        <v>#REF!</v>
      </c>
      <c r="X16" s="69" t="e">
        <f t="shared" si="23"/>
        <v>#REF!</v>
      </c>
      <c r="Y16" s="40"/>
      <c r="Z16" s="69" t="e">
        <f>(X16-V16)*R16</f>
        <v>#REF!</v>
      </c>
      <c r="AA16" s="69" t="e">
        <f t="shared" si="5"/>
        <v>#REF!</v>
      </c>
      <c r="AB16" s="215">
        <f>'Band Calculations'!I23</f>
        <v>83</v>
      </c>
      <c r="AC16" s="69">
        <f t="shared" si="6"/>
        <v>345833.33333333337</v>
      </c>
      <c r="AD16" s="69" t="e">
        <f t="shared" si="7"/>
        <v>#REF!</v>
      </c>
      <c r="AE16" s="215">
        <f>'Band Calculations'!O23</f>
        <v>79</v>
      </c>
      <c r="AF16" s="69">
        <f t="shared" si="8"/>
        <v>460833.33333333337</v>
      </c>
      <c r="AG16" s="69" t="e">
        <f t="shared" si="9"/>
        <v>#REF!</v>
      </c>
      <c r="AH16" s="173" t="e">
        <f t="shared" si="10"/>
        <v>#REF!</v>
      </c>
      <c r="AI16" s="215">
        <f>'Band Calculations'!J23</f>
        <v>46</v>
      </c>
      <c r="AJ16" s="69">
        <f t="shared" si="11"/>
        <v>153333.33333333331</v>
      </c>
      <c r="AK16" s="69" t="e">
        <f t="shared" si="12"/>
        <v>#REF!</v>
      </c>
      <c r="AL16" s="69">
        <f t="shared" si="13"/>
        <v>42078.5</v>
      </c>
      <c r="AM16" s="69" t="e">
        <f t="shared" si="14"/>
        <v>#REF!</v>
      </c>
      <c r="AN16" s="215">
        <f>'Band Calculations'!P23</f>
        <v>50</v>
      </c>
      <c r="AO16" s="69">
        <f t="shared" si="15"/>
        <v>320162.5</v>
      </c>
      <c r="AP16" s="69" t="e">
        <f t="shared" si="16"/>
        <v>#REF!</v>
      </c>
      <c r="AQ16" s="69">
        <f t="shared" si="17"/>
        <v>515574.33333333331</v>
      </c>
      <c r="AR16" s="69" t="e">
        <f t="shared" si="18"/>
        <v>#REF!</v>
      </c>
      <c r="AS16" s="69">
        <f t="shared" si="19"/>
        <v>1322241</v>
      </c>
      <c r="AT16" s="69" t="e">
        <f t="shared" si="20"/>
        <v>#REF!</v>
      </c>
      <c r="AU16" s="100" t="e">
        <f t="shared" si="21"/>
        <v>#REF!</v>
      </c>
      <c r="AV16" s="41"/>
      <c r="AW16" s="69" t="e">
        <f t="shared" si="22"/>
        <v>#REF!</v>
      </c>
    </row>
    <row r="17" spans="1:49" ht="25.5" x14ac:dyDescent="0.2">
      <c r="A17" s="241"/>
      <c r="B17" s="42"/>
      <c r="C17" s="43"/>
      <c r="D17" s="69"/>
      <c r="E17" s="69"/>
      <c r="F17" s="69"/>
      <c r="G17" s="69"/>
      <c r="H17" s="69"/>
      <c r="I17" s="69"/>
      <c r="J17" s="100"/>
      <c r="K17" s="100"/>
      <c r="L17" s="69"/>
      <c r="M17" s="69"/>
      <c r="N17" s="76"/>
      <c r="O17" s="76"/>
      <c r="P17" s="70" t="s">
        <v>106</v>
      </c>
      <c r="Q17" s="94" t="s">
        <v>107</v>
      </c>
      <c r="R17" s="41"/>
      <c r="T17" s="151"/>
      <c r="U17" s="151"/>
      <c r="V17" s="151"/>
      <c r="W17" s="69"/>
      <c r="X17" s="69"/>
      <c r="Y17" s="40"/>
      <c r="Z17" s="69"/>
      <c r="AA17" s="69"/>
      <c r="AB17" s="41"/>
      <c r="AC17" s="69"/>
      <c r="AD17" s="69"/>
      <c r="AE17" s="41"/>
      <c r="AF17" s="69"/>
      <c r="AG17" s="69"/>
      <c r="AH17" s="173"/>
      <c r="AI17" s="41"/>
      <c r="AJ17" s="69"/>
      <c r="AK17" s="69"/>
      <c r="AL17" s="69"/>
      <c r="AM17" s="69">
        <f t="shared" si="14"/>
        <v>0</v>
      </c>
      <c r="AN17" s="41"/>
      <c r="AO17" s="69"/>
      <c r="AP17" s="69"/>
      <c r="AQ17" s="69"/>
      <c r="AR17" s="69"/>
      <c r="AS17" s="69"/>
      <c r="AT17" s="69"/>
      <c r="AU17" s="69"/>
      <c r="AV17" s="41"/>
      <c r="AW17" s="69"/>
    </row>
    <row r="18" spans="1:49" x14ac:dyDescent="0.2">
      <c r="A18" s="241">
        <v>9257031</v>
      </c>
      <c r="B18" s="47" t="s">
        <v>81</v>
      </c>
      <c r="C18" s="43">
        <v>3</v>
      </c>
      <c r="D18" s="100">
        <f>'Funding Model'!D26</f>
        <v>280697.16623783787</v>
      </c>
      <c r="E18" s="100">
        <f>'Funding Model'!E26</f>
        <v>55663.058379368813</v>
      </c>
      <c r="F18" s="69"/>
      <c r="G18" s="69" t="e">
        <f>#REF!</f>
        <v>#REF!</v>
      </c>
      <c r="H18" s="69"/>
      <c r="I18" s="69">
        <f>'Band Calculations'!U10</f>
        <v>873951.18016309384</v>
      </c>
      <c r="J18" s="100">
        <v>10716</v>
      </c>
      <c r="K18" s="100">
        <v>669.84820537303062</v>
      </c>
      <c r="L18" s="69" t="e">
        <f t="shared" si="0"/>
        <v>#REF!</v>
      </c>
      <c r="M18" s="69" t="e">
        <f>#REF!</f>
        <v>#REF!</v>
      </c>
      <c r="N18" s="69" t="e">
        <f>#REF!</f>
        <v>#REF!</v>
      </c>
      <c r="O18" s="69" t="e">
        <f>L18-M18-N18</f>
        <v>#REF!</v>
      </c>
      <c r="P18" s="69" t="e">
        <f>#REF!</f>
        <v>#REF!</v>
      </c>
      <c r="Q18" s="69" t="e">
        <f>O18+P18</f>
        <v>#REF!</v>
      </c>
      <c r="R18" s="142">
        <f>'Band Calculations'!V10</f>
        <v>61</v>
      </c>
      <c r="T18" s="151" t="e">
        <f t="shared" si="2"/>
        <v>#REF!</v>
      </c>
      <c r="U18" s="151">
        <f t="shared" si="3"/>
        <v>610000</v>
      </c>
      <c r="V18" s="151" t="e">
        <f t="shared" si="4"/>
        <v>#REF!</v>
      </c>
      <c r="W18" s="69" t="e">
        <f>#REF!</f>
        <v>#REF!</v>
      </c>
      <c r="X18" s="69" t="e">
        <f t="shared" si="23"/>
        <v>#REF!</v>
      </c>
      <c r="Y18" s="40"/>
      <c r="Z18" s="69"/>
      <c r="AA18" s="69" t="e">
        <f t="shared" si="5"/>
        <v>#REF!</v>
      </c>
      <c r="AB18" s="215">
        <f>'Band Calculations'!I10</f>
        <v>61</v>
      </c>
      <c r="AC18" s="69">
        <f t="shared" si="6"/>
        <v>254166.66666666669</v>
      </c>
      <c r="AD18" s="69" t="e">
        <f t="shared" si="7"/>
        <v>#REF!</v>
      </c>
      <c r="AE18" s="215">
        <f>'Band Calculations'!O10</f>
        <v>61</v>
      </c>
      <c r="AF18" s="69">
        <f t="shared" si="8"/>
        <v>355833.33333333337</v>
      </c>
      <c r="AG18" s="69" t="e">
        <f t="shared" si="9"/>
        <v>#REF!</v>
      </c>
      <c r="AH18" s="173" t="e">
        <f t="shared" si="10"/>
        <v>#REF!</v>
      </c>
      <c r="AI18" s="215">
        <f>'Band Calculations'!J10</f>
        <v>0</v>
      </c>
      <c r="AJ18" s="69">
        <f t="shared" si="11"/>
        <v>0</v>
      </c>
      <c r="AK18" s="69" t="e">
        <f t="shared" si="12"/>
        <v>#REF!</v>
      </c>
      <c r="AL18" s="69">
        <f t="shared" si="13"/>
        <v>0</v>
      </c>
      <c r="AM18" s="69" t="e">
        <f t="shared" si="14"/>
        <v>#REF!</v>
      </c>
      <c r="AN18" s="215">
        <f>'Band Calculations'!P10</f>
        <v>0</v>
      </c>
      <c r="AO18" s="69">
        <f t="shared" si="15"/>
        <v>0</v>
      </c>
      <c r="AP18" s="69" t="e">
        <f t="shared" si="16"/>
        <v>#REF!</v>
      </c>
      <c r="AQ18" s="69">
        <f t="shared" si="17"/>
        <v>0</v>
      </c>
      <c r="AR18" s="69" t="e">
        <f t="shared" si="18"/>
        <v>#REF!</v>
      </c>
      <c r="AS18" s="69">
        <f t="shared" si="19"/>
        <v>610000</v>
      </c>
      <c r="AT18" s="69" t="e">
        <f t="shared" si="20"/>
        <v>#REF!</v>
      </c>
      <c r="AU18" s="69" t="e">
        <f t="shared" si="21"/>
        <v>#REF!</v>
      </c>
      <c r="AV18" s="41"/>
      <c r="AW18" s="69" t="e">
        <f t="shared" si="22"/>
        <v>#REF!</v>
      </c>
    </row>
    <row r="19" spans="1:49" x14ac:dyDescent="0.2">
      <c r="A19" s="241">
        <v>9257029</v>
      </c>
      <c r="B19" s="47" t="s">
        <v>84</v>
      </c>
      <c r="C19" s="43">
        <v>4</v>
      </c>
      <c r="D19" s="100">
        <f>'Funding Model'!$D$27</f>
        <v>360067.26321081078</v>
      </c>
      <c r="E19" s="100">
        <f>'Funding Model'!$E$27</f>
        <v>58044.118057617408</v>
      </c>
      <c r="F19" s="69"/>
      <c r="G19" s="69" t="e">
        <f>#REF!</f>
        <v>#REF!</v>
      </c>
      <c r="H19" s="69"/>
      <c r="I19" s="69">
        <f>'Band Calculations'!U16</f>
        <v>888278.24869035766</v>
      </c>
      <c r="J19" s="100">
        <v>10269.5</v>
      </c>
      <c r="K19" s="100">
        <v>672.79653660865415</v>
      </c>
      <c r="L19" s="69" t="e">
        <f t="shared" si="0"/>
        <v>#REF!</v>
      </c>
      <c r="M19" s="69" t="e">
        <f>#REF!</f>
        <v>#REF!</v>
      </c>
      <c r="N19" s="69" t="e">
        <f>#REF!</f>
        <v>#REF!</v>
      </c>
      <c r="O19" s="69" t="e">
        <f>L19-M19-N19</f>
        <v>#REF!</v>
      </c>
      <c r="P19" s="69" t="e">
        <f>#REF!</f>
        <v>#REF!</v>
      </c>
      <c r="Q19" s="69" t="e">
        <f>O19+P19</f>
        <v>#REF!</v>
      </c>
      <c r="R19" s="142">
        <f>'Band Calculations'!V16</f>
        <v>62.000000000000007</v>
      </c>
      <c r="T19" s="151" t="e">
        <f t="shared" si="2"/>
        <v>#REF!</v>
      </c>
      <c r="U19" s="151">
        <f t="shared" si="3"/>
        <v>620000.00000000012</v>
      </c>
      <c r="V19" s="151" t="e">
        <f t="shared" si="4"/>
        <v>#REF!</v>
      </c>
      <c r="W19" s="69" t="e">
        <f>#REF!</f>
        <v>#REF!</v>
      </c>
      <c r="X19" s="69" t="e">
        <f t="shared" si="23"/>
        <v>#REF!</v>
      </c>
      <c r="Y19" s="40" t="s">
        <v>218</v>
      </c>
      <c r="Z19" s="69" t="e">
        <f>(X19-V19)*R19</f>
        <v>#REF!</v>
      </c>
      <c r="AA19" s="69" t="e">
        <f t="shared" si="5"/>
        <v>#REF!</v>
      </c>
      <c r="AB19" s="215">
        <f>'Band Calculations'!I16</f>
        <v>62</v>
      </c>
      <c r="AC19" s="69">
        <f t="shared" si="6"/>
        <v>258333.33333333334</v>
      </c>
      <c r="AD19" s="69" t="e">
        <f t="shared" si="7"/>
        <v>#REF!</v>
      </c>
      <c r="AE19" s="215">
        <f>'Band Calculations'!O16</f>
        <v>62</v>
      </c>
      <c r="AF19" s="69">
        <f t="shared" si="8"/>
        <v>361666.66666666669</v>
      </c>
      <c r="AG19" s="69" t="e">
        <f t="shared" si="9"/>
        <v>#REF!</v>
      </c>
      <c r="AH19" s="173" t="e">
        <f t="shared" si="10"/>
        <v>#REF!</v>
      </c>
      <c r="AI19" s="215">
        <f>'Band Calculations'!J16</f>
        <v>0</v>
      </c>
      <c r="AJ19" s="69">
        <f t="shared" si="11"/>
        <v>0</v>
      </c>
      <c r="AK19" s="69" t="e">
        <f t="shared" si="12"/>
        <v>#REF!</v>
      </c>
      <c r="AL19" s="69">
        <f t="shared" si="13"/>
        <v>0</v>
      </c>
      <c r="AM19" s="69" t="e">
        <f t="shared" si="14"/>
        <v>#REF!</v>
      </c>
      <c r="AN19" s="215">
        <f>'Band Calculations'!P16</f>
        <v>0</v>
      </c>
      <c r="AO19" s="69">
        <f t="shared" si="15"/>
        <v>0</v>
      </c>
      <c r="AP19" s="69" t="e">
        <f t="shared" si="16"/>
        <v>#REF!</v>
      </c>
      <c r="AQ19" s="69">
        <f t="shared" si="17"/>
        <v>0</v>
      </c>
      <c r="AR19" s="69" t="e">
        <f t="shared" si="18"/>
        <v>#REF!</v>
      </c>
      <c r="AS19" s="69">
        <f t="shared" si="19"/>
        <v>620000</v>
      </c>
      <c r="AT19" s="69" t="e">
        <f t="shared" si="20"/>
        <v>#REF!</v>
      </c>
      <c r="AU19" s="69" t="e">
        <f t="shared" si="21"/>
        <v>#REF!</v>
      </c>
      <c r="AV19" s="41"/>
      <c r="AW19" s="69" t="e">
        <f t="shared" si="22"/>
        <v>#REF!</v>
      </c>
    </row>
    <row r="20" spans="1:49" x14ac:dyDescent="0.2">
      <c r="A20" s="241">
        <v>9257032</v>
      </c>
      <c r="B20" s="47" t="s">
        <v>82</v>
      </c>
      <c r="C20" s="43">
        <v>5</v>
      </c>
      <c r="D20" s="100">
        <f>'Funding Model'!$D$27</f>
        <v>360067.26321081078</v>
      </c>
      <c r="E20" s="100">
        <f>'Funding Model'!$E$27</f>
        <v>58044.118057617408</v>
      </c>
      <c r="F20" s="100"/>
      <c r="G20" s="69" t="e">
        <f>#REF!</f>
        <v>#REF!</v>
      </c>
      <c r="H20" s="69"/>
      <c r="I20" s="69">
        <f>'Band Calculations'!U17</f>
        <v>845297.04310856608</v>
      </c>
      <c r="J20" s="100">
        <v>12948.5</v>
      </c>
      <c r="K20" s="100">
        <v>663.9515429017838</v>
      </c>
      <c r="L20" s="69" t="e">
        <f t="shared" si="0"/>
        <v>#REF!</v>
      </c>
      <c r="M20" s="69" t="e">
        <f>#REF!</f>
        <v>#REF!</v>
      </c>
      <c r="N20" s="69" t="e">
        <f>#REF!</f>
        <v>#REF!</v>
      </c>
      <c r="O20" s="69" t="e">
        <f>L20-M20-N20</f>
        <v>#REF!</v>
      </c>
      <c r="P20" s="69" t="e">
        <f>#REF!</f>
        <v>#REF!</v>
      </c>
      <c r="Q20" s="69" t="e">
        <f>O20+P20</f>
        <v>#REF!</v>
      </c>
      <c r="R20" s="142">
        <f>'Band Calculations'!V17</f>
        <v>59.000000000000007</v>
      </c>
      <c r="T20" s="151" t="e">
        <f t="shared" si="2"/>
        <v>#REF!</v>
      </c>
      <c r="U20" s="151">
        <f t="shared" si="3"/>
        <v>590000.00000000012</v>
      </c>
      <c r="V20" s="151" t="e">
        <f t="shared" si="4"/>
        <v>#REF!</v>
      </c>
      <c r="W20" s="69" t="e">
        <f>#REF!</f>
        <v>#REF!</v>
      </c>
      <c r="X20" s="69" t="e">
        <f t="shared" si="23"/>
        <v>#REF!</v>
      </c>
      <c r="Y20" s="40" t="s">
        <v>218</v>
      </c>
      <c r="Z20" s="69" t="e">
        <f>(X20-V20)*R20</f>
        <v>#REF!</v>
      </c>
      <c r="AA20" s="69" t="e">
        <f t="shared" si="5"/>
        <v>#REF!</v>
      </c>
      <c r="AB20" s="215">
        <f>'Band Calculations'!I17</f>
        <v>59</v>
      </c>
      <c r="AC20" s="69">
        <f t="shared" si="6"/>
        <v>245833.33333333334</v>
      </c>
      <c r="AD20" s="69" t="e">
        <f t="shared" si="7"/>
        <v>#REF!</v>
      </c>
      <c r="AE20" s="215">
        <f>'Band Calculations'!O17</f>
        <v>59</v>
      </c>
      <c r="AF20" s="69">
        <f t="shared" si="8"/>
        <v>344166.66666666669</v>
      </c>
      <c r="AG20" s="69" t="e">
        <f t="shared" si="9"/>
        <v>#REF!</v>
      </c>
      <c r="AH20" s="173" t="e">
        <f t="shared" si="10"/>
        <v>#REF!</v>
      </c>
      <c r="AI20" s="215">
        <f>'Band Calculations'!J17</f>
        <v>0</v>
      </c>
      <c r="AJ20" s="69">
        <f t="shared" si="11"/>
        <v>0</v>
      </c>
      <c r="AK20" s="69" t="e">
        <f t="shared" si="12"/>
        <v>#REF!</v>
      </c>
      <c r="AL20" s="69">
        <f t="shared" si="13"/>
        <v>0</v>
      </c>
      <c r="AM20" s="69" t="e">
        <f t="shared" si="14"/>
        <v>#REF!</v>
      </c>
      <c r="AN20" s="215">
        <f>'Band Calculations'!P17</f>
        <v>0</v>
      </c>
      <c r="AO20" s="69">
        <f t="shared" si="15"/>
        <v>0</v>
      </c>
      <c r="AP20" s="69" t="e">
        <f t="shared" si="16"/>
        <v>#REF!</v>
      </c>
      <c r="AQ20" s="69">
        <f t="shared" si="17"/>
        <v>0</v>
      </c>
      <c r="AR20" s="69" t="e">
        <f t="shared" si="18"/>
        <v>#REF!</v>
      </c>
      <c r="AS20" s="69">
        <f t="shared" si="19"/>
        <v>590000</v>
      </c>
      <c r="AT20" s="69" t="e">
        <f t="shared" si="20"/>
        <v>#REF!</v>
      </c>
      <c r="AU20" s="69" t="e">
        <f t="shared" si="21"/>
        <v>#REF!</v>
      </c>
      <c r="AV20" s="41"/>
      <c r="AW20" s="69" t="e">
        <f t="shared" si="22"/>
        <v>#REF!</v>
      </c>
    </row>
    <row r="21" spans="1:49" x14ac:dyDescent="0.2">
      <c r="A21" s="241">
        <v>9257030</v>
      </c>
      <c r="B21" s="47" t="s">
        <v>83</v>
      </c>
      <c r="C21" s="43">
        <v>4</v>
      </c>
      <c r="D21" s="100">
        <f>'Funding Model'!$D$27</f>
        <v>360067.26321081078</v>
      </c>
      <c r="E21" s="100">
        <f>'Funding Model'!$E$27</f>
        <v>58044.118057617408</v>
      </c>
      <c r="F21" s="69"/>
      <c r="G21" s="69" t="e">
        <f>#REF!</f>
        <v>#REF!</v>
      </c>
      <c r="H21" s="69"/>
      <c r="I21" s="69">
        <f>'Band Calculations'!U18</f>
        <v>787988.76899951079</v>
      </c>
      <c r="J21" s="100">
        <v>8483.5</v>
      </c>
      <c r="K21" s="100">
        <v>652.15821795928991</v>
      </c>
      <c r="L21" s="69" t="e">
        <f t="shared" si="0"/>
        <v>#REF!</v>
      </c>
      <c r="M21" s="69" t="e">
        <f>#REF!</f>
        <v>#REF!</v>
      </c>
      <c r="N21" s="69" t="e">
        <f>#REF!</f>
        <v>#REF!</v>
      </c>
      <c r="O21" s="69" t="e">
        <f>L21-M21-N21</f>
        <v>#REF!</v>
      </c>
      <c r="P21" s="69" t="e">
        <f>#REF!</f>
        <v>#REF!</v>
      </c>
      <c r="Q21" s="69" t="e">
        <f>O21+P21</f>
        <v>#REF!</v>
      </c>
      <c r="R21" s="142">
        <f>'Band Calculations'!V18</f>
        <v>55</v>
      </c>
      <c r="T21" s="151" t="e">
        <f t="shared" si="2"/>
        <v>#REF!</v>
      </c>
      <c r="U21" s="151">
        <f t="shared" si="3"/>
        <v>550000</v>
      </c>
      <c r="V21" s="151" t="e">
        <f t="shared" si="4"/>
        <v>#REF!</v>
      </c>
      <c r="W21" s="69" t="e">
        <f>#REF!</f>
        <v>#REF!</v>
      </c>
      <c r="X21" s="69" t="e">
        <f t="shared" si="23"/>
        <v>#REF!</v>
      </c>
      <c r="Y21" s="40" t="s">
        <v>218</v>
      </c>
      <c r="Z21" s="69" t="e">
        <f>(X21-V21)*R21</f>
        <v>#REF!</v>
      </c>
      <c r="AA21" s="69" t="e">
        <f t="shared" si="5"/>
        <v>#REF!</v>
      </c>
      <c r="AB21" s="215">
        <f>'Band Calculations'!I18</f>
        <v>55</v>
      </c>
      <c r="AC21" s="69">
        <f t="shared" si="6"/>
        <v>229166.66666666669</v>
      </c>
      <c r="AD21" s="69" t="e">
        <f t="shared" si="7"/>
        <v>#REF!</v>
      </c>
      <c r="AE21" s="215">
        <f>'Band Calculations'!O18</f>
        <v>55</v>
      </c>
      <c r="AF21" s="69">
        <f t="shared" si="8"/>
        <v>320833.33333333337</v>
      </c>
      <c r="AG21" s="69" t="e">
        <f t="shared" si="9"/>
        <v>#REF!</v>
      </c>
      <c r="AH21" s="173" t="e">
        <f t="shared" si="10"/>
        <v>#REF!</v>
      </c>
      <c r="AI21" s="215">
        <f>'Band Calculations'!J18</f>
        <v>0</v>
      </c>
      <c r="AJ21" s="69">
        <f t="shared" si="11"/>
        <v>0</v>
      </c>
      <c r="AK21" s="69" t="e">
        <f t="shared" si="12"/>
        <v>#REF!</v>
      </c>
      <c r="AL21" s="69">
        <f t="shared" si="13"/>
        <v>0</v>
      </c>
      <c r="AM21" s="69" t="e">
        <f t="shared" si="14"/>
        <v>#REF!</v>
      </c>
      <c r="AN21" s="215">
        <f>'Band Calculations'!P18</f>
        <v>0</v>
      </c>
      <c r="AO21" s="69">
        <f t="shared" si="15"/>
        <v>0</v>
      </c>
      <c r="AP21" s="69" t="e">
        <f t="shared" si="16"/>
        <v>#REF!</v>
      </c>
      <c r="AQ21" s="69">
        <f t="shared" si="17"/>
        <v>0</v>
      </c>
      <c r="AR21" s="69" t="e">
        <f t="shared" si="18"/>
        <v>#REF!</v>
      </c>
      <c r="AS21" s="69">
        <f t="shared" si="19"/>
        <v>550000</v>
      </c>
      <c r="AT21" s="69" t="e">
        <f t="shared" si="20"/>
        <v>#REF!</v>
      </c>
      <c r="AU21" s="69" t="e">
        <f t="shared" si="21"/>
        <v>#REF!</v>
      </c>
      <c r="AV21" s="41"/>
      <c r="AW21" s="69" t="e">
        <f t="shared" si="22"/>
        <v>#REF!</v>
      </c>
    </row>
    <row r="22" spans="1:49" x14ac:dyDescent="0.2">
      <c r="A22" s="241"/>
      <c r="B22" s="47"/>
      <c r="C22" s="43"/>
      <c r="D22" s="100"/>
      <c r="E22" s="100"/>
      <c r="F22" s="69"/>
      <c r="G22" s="69"/>
      <c r="H22" s="69"/>
      <c r="I22" s="69"/>
      <c r="J22" s="100"/>
      <c r="K22" s="100"/>
      <c r="L22" s="69"/>
      <c r="M22" s="77"/>
      <c r="N22" s="77"/>
      <c r="O22" s="69"/>
      <c r="P22" s="57"/>
      <c r="Q22" s="57"/>
      <c r="R22" s="41"/>
      <c r="T22" s="151"/>
      <c r="U22" s="151"/>
      <c r="V22" s="151"/>
      <c r="W22" s="69"/>
      <c r="X22" s="69"/>
      <c r="Y22" s="40"/>
      <c r="Z22" s="41"/>
      <c r="AA22" s="69"/>
      <c r="AB22" s="41"/>
      <c r="AC22" s="69"/>
      <c r="AD22" s="69"/>
      <c r="AE22" s="41"/>
      <c r="AF22" s="69"/>
      <c r="AG22" s="69"/>
      <c r="AH22" s="173"/>
      <c r="AI22" s="41"/>
      <c r="AJ22" s="69"/>
      <c r="AK22" s="69"/>
      <c r="AL22" s="69"/>
      <c r="AM22" s="69">
        <f t="shared" si="14"/>
        <v>0</v>
      </c>
      <c r="AN22" s="41"/>
      <c r="AO22" s="69"/>
      <c r="AP22" s="69"/>
      <c r="AQ22" s="69"/>
      <c r="AR22" s="69"/>
      <c r="AS22" s="69"/>
      <c r="AT22" s="69"/>
      <c r="AU22" s="69"/>
      <c r="AV22" s="41"/>
      <c r="AW22" s="69"/>
    </row>
    <row r="23" spans="1:49" x14ac:dyDescent="0.2">
      <c r="A23" s="241">
        <v>9257033</v>
      </c>
      <c r="B23" s="42" t="s">
        <v>72</v>
      </c>
      <c r="C23" s="43">
        <v>3</v>
      </c>
      <c r="D23" s="100">
        <f>'Funding Model'!$D$22</f>
        <v>314686.51772419503</v>
      </c>
      <c r="E23" s="100">
        <f>'Funding Model'!$E$22</f>
        <v>69201.680689977453</v>
      </c>
      <c r="F23" s="69"/>
      <c r="G23" s="69"/>
      <c r="H23" s="69"/>
      <c r="I23" s="69">
        <f>'Band Calculations'!U11</f>
        <v>505498.28651081503</v>
      </c>
      <c r="J23" s="100">
        <v>11162.5</v>
      </c>
      <c r="K23" s="100">
        <v>666.89987413740721</v>
      </c>
      <c r="L23" s="69">
        <f t="shared" si="0"/>
        <v>901215.88479912491</v>
      </c>
      <c r="M23" s="97" t="e">
        <f>#REF!</f>
        <v>#REF!</v>
      </c>
      <c r="N23" s="97" t="e">
        <f>#REF!</f>
        <v>#REF!</v>
      </c>
      <c r="O23" s="69" t="e">
        <f>L23-M23-N23</f>
        <v>#REF!</v>
      </c>
      <c r="P23" s="57"/>
      <c r="Q23" s="57"/>
      <c r="R23" s="142">
        <f>'Band Calculations'!V11</f>
        <v>60</v>
      </c>
      <c r="T23" s="151">
        <f t="shared" si="2"/>
        <v>15020.264746652081</v>
      </c>
      <c r="U23" s="151">
        <f t="shared" si="3"/>
        <v>600000</v>
      </c>
      <c r="V23" s="151">
        <f t="shared" si="4"/>
        <v>5020.2647466520812</v>
      </c>
      <c r="W23" s="69" t="e">
        <f>#REF!</f>
        <v>#REF!</v>
      </c>
      <c r="X23" s="69" t="e">
        <f t="shared" si="23"/>
        <v>#REF!</v>
      </c>
      <c r="Y23" s="40"/>
      <c r="Z23" s="41"/>
      <c r="AA23" s="69">
        <f t="shared" si="5"/>
        <v>901215.88479912491</v>
      </c>
      <c r="AB23" s="215">
        <f>'Band Calculations'!I11</f>
        <v>60</v>
      </c>
      <c r="AC23" s="69">
        <f t="shared" si="6"/>
        <v>250000</v>
      </c>
      <c r="AD23" s="69" t="e">
        <f t="shared" si="7"/>
        <v>#REF!</v>
      </c>
      <c r="AE23" s="215">
        <f>'Band Calculations'!O11</f>
        <v>60</v>
      </c>
      <c r="AF23" s="69">
        <f t="shared" si="8"/>
        <v>350000</v>
      </c>
      <c r="AG23" s="69" t="e">
        <f t="shared" si="9"/>
        <v>#REF!</v>
      </c>
      <c r="AH23" s="173" t="e">
        <f t="shared" si="10"/>
        <v>#REF!</v>
      </c>
      <c r="AI23" s="215">
        <f>'Band Calculations'!J11</f>
        <v>0</v>
      </c>
      <c r="AJ23" s="69">
        <f t="shared" si="11"/>
        <v>0</v>
      </c>
      <c r="AK23" s="69" t="e">
        <f t="shared" si="12"/>
        <v>#REF!</v>
      </c>
      <c r="AL23" s="69">
        <f t="shared" si="13"/>
        <v>0</v>
      </c>
      <c r="AM23" s="69" t="e">
        <f t="shared" si="14"/>
        <v>#REF!</v>
      </c>
      <c r="AN23" s="215">
        <f>'Band Calculations'!P11</f>
        <v>0</v>
      </c>
      <c r="AO23" s="69">
        <f t="shared" si="15"/>
        <v>0</v>
      </c>
      <c r="AP23" s="69" t="e">
        <f t="shared" si="16"/>
        <v>#REF!</v>
      </c>
      <c r="AQ23" s="69">
        <f t="shared" si="17"/>
        <v>0</v>
      </c>
      <c r="AR23" s="69" t="e">
        <f t="shared" si="18"/>
        <v>#REF!</v>
      </c>
      <c r="AS23" s="69">
        <f t="shared" si="19"/>
        <v>600000</v>
      </c>
      <c r="AT23" s="69" t="e">
        <f t="shared" si="20"/>
        <v>#REF!</v>
      </c>
      <c r="AU23" s="69" t="e">
        <f t="shared" si="21"/>
        <v>#REF!</v>
      </c>
      <c r="AV23" s="41"/>
      <c r="AW23" s="69" t="e">
        <f t="shared" si="22"/>
        <v>#REF!</v>
      </c>
    </row>
    <row r="24" spans="1:49" x14ac:dyDescent="0.2">
      <c r="A24" s="241">
        <v>9257034</v>
      </c>
      <c r="B24" s="42" t="s">
        <v>74</v>
      </c>
      <c r="C24" s="43">
        <v>4</v>
      </c>
      <c r="D24" s="100">
        <f>'Funding Model'!$D$23</f>
        <v>405763.82046267512</v>
      </c>
      <c r="E24" s="100">
        <f>'Funding Model'!$E$23</f>
        <v>88790.687513148558</v>
      </c>
      <c r="F24" s="69"/>
      <c r="G24" s="69"/>
      <c r="H24" s="69"/>
      <c r="I24" s="69">
        <f>'Band Calculations'!U13</f>
        <v>894237.97448646929</v>
      </c>
      <c r="J24" s="100">
        <v>16074</v>
      </c>
      <c r="K24" s="100">
        <v>811.36810468295653</v>
      </c>
      <c r="L24" s="69">
        <f t="shared" si="0"/>
        <v>1405677.850566976</v>
      </c>
      <c r="M24" s="79" t="e">
        <f>#REF!</f>
        <v>#REF!</v>
      </c>
      <c r="N24" s="79" t="e">
        <f>#REF!</f>
        <v>#REF!</v>
      </c>
      <c r="O24" s="69" t="e">
        <f>L24-M24-N24</f>
        <v>#REF!</v>
      </c>
      <c r="R24" s="142">
        <f>'Band Calculations'!V13</f>
        <v>109</v>
      </c>
      <c r="T24" s="151">
        <f t="shared" si="2"/>
        <v>12896.127069421798</v>
      </c>
      <c r="U24" s="151">
        <f t="shared" si="3"/>
        <v>1090000</v>
      </c>
      <c r="V24" s="151">
        <f t="shared" si="4"/>
        <v>2896.1270694217983</v>
      </c>
      <c r="W24" s="69" t="e">
        <f>#REF!</f>
        <v>#REF!</v>
      </c>
      <c r="X24" s="69" t="e">
        <f t="shared" si="23"/>
        <v>#REF!</v>
      </c>
      <c r="Y24" s="40"/>
      <c r="Z24" s="41"/>
      <c r="AA24" s="69">
        <f t="shared" si="5"/>
        <v>1405677.850566976</v>
      </c>
      <c r="AB24" s="215">
        <f>'Band Calculations'!I13</f>
        <v>82</v>
      </c>
      <c r="AC24" s="69">
        <f t="shared" si="6"/>
        <v>341666.66666666669</v>
      </c>
      <c r="AD24" s="69" t="e">
        <f t="shared" si="7"/>
        <v>#REF!</v>
      </c>
      <c r="AE24" s="215">
        <f>'Band Calculations'!O13</f>
        <v>78</v>
      </c>
      <c r="AF24" s="69">
        <f t="shared" si="8"/>
        <v>455000</v>
      </c>
      <c r="AG24" s="69" t="e">
        <f t="shared" si="9"/>
        <v>#REF!</v>
      </c>
      <c r="AH24" s="173" t="e">
        <f t="shared" si="10"/>
        <v>#REF!</v>
      </c>
      <c r="AI24" s="215">
        <f>'Band Calculations'!J13</f>
        <v>27</v>
      </c>
      <c r="AJ24" s="69">
        <f t="shared" si="11"/>
        <v>90000</v>
      </c>
      <c r="AK24" s="69" t="e">
        <f t="shared" si="12"/>
        <v>#REF!</v>
      </c>
      <c r="AL24" s="69">
        <f t="shared" si="13"/>
        <v>24698.25</v>
      </c>
      <c r="AM24" s="69" t="e">
        <f t="shared" si="14"/>
        <v>#REF!</v>
      </c>
      <c r="AN24" s="215">
        <f>'Band Calculations'!P13</f>
        <v>31</v>
      </c>
      <c r="AO24" s="69">
        <f t="shared" si="15"/>
        <v>198500.75</v>
      </c>
      <c r="AP24" s="69" t="e">
        <f t="shared" si="16"/>
        <v>#REF!</v>
      </c>
      <c r="AQ24" s="69">
        <f t="shared" si="17"/>
        <v>313199</v>
      </c>
      <c r="AR24" s="69" t="e">
        <f t="shared" si="18"/>
        <v>#REF!</v>
      </c>
      <c r="AS24" s="69">
        <f t="shared" si="19"/>
        <v>1109865.6666666667</v>
      </c>
      <c r="AT24" s="69" t="e">
        <f t="shared" si="20"/>
        <v>#REF!</v>
      </c>
      <c r="AU24" s="69" t="e">
        <f t="shared" si="21"/>
        <v>#REF!</v>
      </c>
      <c r="AV24" s="41"/>
      <c r="AW24" s="69" t="e">
        <f t="shared" si="22"/>
        <v>#REF!</v>
      </c>
    </row>
    <row r="25" spans="1:49" x14ac:dyDescent="0.2">
      <c r="B25" s="55"/>
      <c r="C25" s="66"/>
      <c r="D25" s="46"/>
      <c r="E25" s="46"/>
      <c r="F25" s="46"/>
      <c r="G25" s="46"/>
      <c r="H25" s="46"/>
      <c r="I25" s="46"/>
      <c r="J25" s="84"/>
      <c r="K25" s="84"/>
      <c r="M25" s="46"/>
      <c r="N25" s="46"/>
      <c r="AC25" s="131"/>
      <c r="AD25" s="131"/>
    </row>
    <row r="26" spans="1:49" ht="13.5" customHeight="1" thickBot="1" x14ac:dyDescent="0.25">
      <c r="D26" s="140">
        <f t="shared" ref="D26:R26" si="24">SUM(D4:D24)</f>
        <v>6718354.6991984947</v>
      </c>
      <c r="E26" s="140">
        <f t="shared" si="24"/>
        <v>1540378.5397757187</v>
      </c>
      <c r="F26" s="140"/>
      <c r="G26" s="140" t="e">
        <f t="shared" si="24"/>
        <v>#REF!</v>
      </c>
      <c r="H26" s="140">
        <f t="shared" si="24"/>
        <v>29207</v>
      </c>
      <c r="I26" s="140">
        <f t="shared" si="24"/>
        <v>15048431.218504105</v>
      </c>
      <c r="J26" s="140">
        <f t="shared" si="24"/>
        <v>236943.16666666666</v>
      </c>
      <c r="K26" s="140">
        <f t="shared" si="24"/>
        <v>13994.89833340567</v>
      </c>
      <c r="L26" s="140" t="e">
        <f>SUM(L4:L24)</f>
        <v>#REF!</v>
      </c>
      <c r="M26" s="140" t="e">
        <f t="shared" si="24"/>
        <v>#REF!</v>
      </c>
      <c r="N26" s="140" t="e">
        <f t="shared" si="24"/>
        <v>#REF!</v>
      </c>
      <c r="O26" s="140" t="e">
        <f t="shared" si="24"/>
        <v>#REF!</v>
      </c>
      <c r="P26" s="140" t="e">
        <f t="shared" si="24"/>
        <v>#REF!</v>
      </c>
      <c r="Q26" s="140" t="e">
        <f t="shared" si="24"/>
        <v>#REF!</v>
      </c>
      <c r="R26" s="188">
        <f t="shared" si="24"/>
        <v>1588.2500000000002</v>
      </c>
      <c r="S26" s="57"/>
      <c r="U26" s="75">
        <f>SUM(U4:U24)</f>
        <v>15882500</v>
      </c>
      <c r="V26" s="74" t="s">
        <v>205</v>
      </c>
      <c r="AL26" s="45" t="s">
        <v>264</v>
      </c>
      <c r="AM26" s="45" t="s">
        <v>265</v>
      </c>
    </row>
    <row r="27" spans="1:49" x14ac:dyDescent="0.2">
      <c r="B27" s="44"/>
      <c r="C27" s="44"/>
      <c r="D27" s="83"/>
      <c r="E27" s="83"/>
      <c r="F27" s="83"/>
      <c r="G27" s="83"/>
      <c r="H27" s="83"/>
      <c r="I27" s="44"/>
      <c r="L27" s="83"/>
      <c r="M27" s="46"/>
      <c r="N27" s="46"/>
      <c r="Q27" s="130"/>
      <c r="R27" s="132"/>
      <c r="S27" s="57"/>
      <c r="U27" s="46" t="e">
        <f>L26-U26</f>
        <v>#REF!</v>
      </c>
      <c r="V27" s="74" t="s">
        <v>206</v>
      </c>
      <c r="AL27" s="223"/>
      <c r="AM27" s="223"/>
    </row>
    <row r="28" spans="1:49" x14ac:dyDescent="0.2">
      <c r="B28" s="44"/>
      <c r="C28" s="44"/>
      <c r="D28" s="83"/>
      <c r="E28" s="83"/>
      <c r="F28" s="83"/>
      <c r="G28" s="83"/>
      <c r="H28" s="83"/>
      <c r="I28" s="44"/>
      <c r="L28" s="83"/>
      <c r="M28" s="46"/>
      <c r="N28" s="46"/>
      <c r="Q28" s="130"/>
      <c r="R28" s="132"/>
      <c r="S28" s="57"/>
      <c r="U28" s="46" t="e">
        <f>SUM(Z4:Z24)</f>
        <v>#REF!</v>
      </c>
      <c r="V28" s="74" t="s">
        <v>219</v>
      </c>
      <c r="AL28" s="223"/>
      <c r="AM28" s="223"/>
    </row>
    <row r="29" spans="1:49" ht="13.5" thickBot="1" x14ac:dyDescent="0.25">
      <c r="B29" s="44" t="s">
        <v>211</v>
      </c>
      <c r="C29" s="44"/>
      <c r="D29" s="84">
        <v>6936691.532020363</v>
      </c>
      <c r="E29" s="84">
        <v>1552171.8936161916</v>
      </c>
      <c r="F29" s="84">
        <v>0</v>
      </c>
      <c r="G29" s="84">
        <v>335900</v>
      </c>
      <c r="H29" s="84">
        <v>29207</v>
      </c>
      <c r="I29" s="84">
        <v>14844589.983838988</v>
      </c>
      <c r="J29" s="84" t="e">
        <f>#REF!</f>
        <v>#REF!</v>
      </c>
      <c r="K29" s="84"/>
      <c r="L29" s="84" t="e">
        <f>SUM(D29:J29)</f>
        <v>#REF!</v>
      </c>
      <c r="M29" s="46"/>
      <c r="N29" s="46"/>
      <c r="Q29" s="130"/>
      <c r="R29" s="185">
        <v>0</v>
      </c>
      <c r="S29" s="57"/>
      <c r="U29" s="75" t="e">
        <f>SUM(U27:U28)</f>
        <v>#REF!</v>
      </c>
      <c r="V29" s="74"/>
      <c r="AK29" s="45" t="s">
        <v>264</v>
      </c>
      <c r="AL29" s="37" t="s">
        <v>255</v>
      </c>
    </row>
    <row r="30" spans="1:49" x14ac:dyDescent="0.2">
      <c r="B30" s="44"/>
      <c r="C30" s="44"/>
      <c r="D30" s="84"/>
      <c r="E30" s="84"/>
      <c r="F30" s="84"/>
      <c r="G30" s="84"/>
      <c r="H30" s="84"/>
      <c r="I30" s="84"/>
      <c r="J30" s="84"/>
      <c r="K30" s="84"/>
      <c r="L30" s="84"/>
      <c r="M30" s="46"/>
      <c r="N30" s="46"/>
      <c r="Q30" s="130"/>
      <c r="R30" s="185"/>
      <c r="S30" s="57"/>
      <c r="U30" s="189"/>
      <c r="V30" s="74"/>
      <c r="AK30" s="45"/>
      <c r="AL30" s="223"/>
      <c r="AM30" s="223"/>
    </row>
    <row r="31" spans="1:49" s="178" customFormat="1" x14ac:dyDescent="0.2">
      <c r="B31" s="177" t="s">
        <v>105</v>
      </c>
      <c r="C31" s="177"/>
      <c r="D31" s="179">
        <f>D26-D29</f>
        <v>-218336.83282186836</v>
      </c>
      <c r="E31" s="179">
        <f t="shared" ref="E31:L31" si="25">E26-E29</f>
        <v>-11793.353840472875</v>
      </c>
      <c r="F31" s="179">
        <f t="shared" si="25"/>
        <v>0</v>
      </c>
      <c r="G31" s="179" t="e">
        <f t="shared" si="25"/>
        <v>#REF!</v>
      </c>
      <c r="H31" s="179">
        <f t="shared" si="25"/>
        <v>0</v>
      </c>
      <c r="I31" s="179">
        <f t="shared" si="25"/>
        <v>203841.2346651163</v>
      </c>
      <c r="J31" s="179" t="e">
        <f t="shared" si="25"/>
        <v>#REF!</v>
      </c>
      <c r="K31" s="179"/>
      <c r="L31" s="179" t="e">
        <f t="shared" si="25"/>
        <v>#REF!</v>
      </c>
      <c r="M31" s="180"/>
      <c r="N31" s="180"/>
      <c r="O31" s="181"/>
      <c r="Q31" s="182"/>
      <c r="R31" s="186">
        <f>R26-R29</f>
        <v>1588.2500000000002</v>
      </c>
      <c r="S31" s="149"/>
      <c r="T31" s="180"/>
      <c r="U31" s="46" t="e">
        <f>U26+U29</f>
        <v>#REF!</v>
      </c>
      <c r="V31" s="74" t="s">
        <v>221</v>
      </c>
      <c r="W31" s="38"/>
      <c r="X31" s="38"/>
      <c r="Z31" s="181"/>
      <c r="AA31" s="181"/>
      <c r="AK31" s="45" t="s">
        <v>265</v>
      </c>
      <c r="AL31" s="578" t="s">
        <v>256</v>
      </c>
      <c r="AM31" s="578"/>
      <c r="AN31" s="578"/>
      <c r="AO31" s="578"/>
      <c r="AP31" s="578"/>
      <c r="AQ31" s="578"/>
      <c r="AR31" s="578"/>
      <c r="AS31" s="578"/>
      <c r="AT31" s="578"/>
      <c r="AU31" s="578"/>
    </row>
    <row r="32" spans="1:49" x14ac:dyDescent="0.2">
      <c r="B32" s="44" t="s">
        <v>212</v>
      </c>
      <c r="C32" s="44"/>
      <c r="D32" s="83">
        <v>1</v>
      </c>
      <c r="E32" s="83">
        <v>1</v>
      </c>
      <c r="F32" s="83"/>
      <c r="G32" s="83">
        <v>2</v>
      </c>
      <c r="H32" s="83"/>
      <c r="I32" s="83">
        <v>3</v>
      </c>
      <c r="L32" s="83">
        <v>4</v>
      </c>
      <c r="M32" s="46"/>
      <c r="N32" s="46"/>
      <c r="Q32" s="130"/>
      <c r="R32" s="185"/>
      <c r="S32" s="57"/>
      <c r="U32" s="46" t="e">
        <f>L26</f>
        <v>#REF!</v>
      </c>
      <c r="V32" s="74" t="s">
        <v>222</v>
      </c>
      <c r="AL32" s="578"/>
      <c r="AM32" s="578"/>
      <c r="AN32" s="578"/>
      <c r="AO32" s="578"/>
      <c r="AP32" s="578"/>
      <c r="AQ32" s="578"/>
      <c r="AR32" s="578"/>
      <c r="AS32" s="578"/>
      <c r="AT32" s="578"/>
      <c r="AU32" s="578"/>
    </row>
    <row r="33" spans="1:47" x14ac:dyDescent="0.2">
      <c r="B33" s="44"/>
      <c r="C33" s="44"/>
      <c r="D33" s="83"/>
      <c r="E33" s="83"/>
      <c r="F33" s="83"/>
      <c r="G33" s="83"/>
      <c r="H33" s="83"/>
      <c r="I33" s="44"/>
      <c r="L33" s="83"/>
      <c r="M33" s="46"/>
      <c r="N33" s="46"/>
      <c r="Q33" s="130"/>
      <c r="R33" s="132"/>
      <c r="S33" s="57"/>
      <c r="T33" s="180" t="s">
        <v>102</v>
      </c>
      <c r="U33" s="180" t="e">
        <f>U31-U32</f>
        <v>#REF!</v>
      </c>
      <c r="V33" s="183" t="s">
        <v>223</v>
      </c>
      <c r="W33" s="178"/>
      <c r="AL33" s="223"/>
      <c r="AM33" s="223"/>
    </row>
    <row r="34" spans="1:47" x14ac:dyDescent="0.2">
      <c r="D34" s="83"/>
      <c r="E34" s="83"/>
      <c r="F34" s="83"/>
      <c r="G34" s="83"/>
      <c r="H34" s="83"/>
      <c r="I34" s="44"/>
      <c r="L34" s="83"/>
      <c r="AL34" s="223"/>
      <c r="AM34" s="223"/>
    </row>
    <row r="35" spans="1:47" x14ac:dyDescent="0.2">
      <c r="A35" s="131"/>
      <c r="B35" s="138" t="s">
        <v>137</v>
      </c>
      <c r="C35" s="138"/>
      <c r="D35" s="100">
        <f>'Funding Model'!D29</f>
        <v>311632.88595405407</v>
      </c>
      <c r="E35" s="100">
        <f>'Funding Model'!E29</f>
        <v>45920</v>
      </c>
      <c r="F35" s="100">
        <f>'Funding Model'!D33</f>
        <v>408510</v>
      </c>
      <c r="G35" s="100"/>
      <c r="H35" s="100"/>
      <c r="I35" s="100">
        <f>'Band Calculations'!U24</f>
        <v>233840.41276193576</v>
      </c>
      <c r="J35" s="100">
        <v>446.5</v>
      </c>
      <c r="K35" s="100">
        <v>548.96662471246907</v>
      </c>
      <c r="L35" s="100">
        <f>SUM(D35:J35)</f>
        <v>1000349.7987159898</v>
      </c>
      <c r="M35" s="69" t="e">
        <f>#REF!</f>
        <v>#REF!</v>
      </c>
      <c r="N35" s="69" t="e">
        <f>#REF!</f>
        <v>#REF!</v>
      </c>
      <c r="O35" s="69" t="e">
        <f>L35-M35-N35</f>
        <v>#REF!</v>
      </c>
      <c r="P35" s="131"/>
      <c r="Q35" s="131"/>
      <c r="R35" s="142">
        <f>'Band Calculations'!K24</f>
        <v>20</v>
      </c>
      <c r="S35" s="131"/>
      <c r="AL35" s="223"/>
      <c r="AM35" s="223"/>
    </row>
    <row r="36" spans="1:47" x14ac:dyDescent="0.2">
      <c r="A36" s="131"/>
      <c r="B36" s="138" t="s">
        <v>138</v>
      </c>
      <c r="C36" s="138"/>
      <c r="D36" s="100">
        <f>'Funding Model'!D28</f>
        <v>120796.88938648649</v>
      </c>
      <c r="E36" s="100">
        <f>'Funding Model'!E28</f>
        <v>18681.5</v>
      </c>
      <c r="F36" s="100"/>
      <c r="G36" s="100"/>
      <c r="H36" s="100"/>
      <c r="I36" s="100">
        <f>'Band Calculations'!U25</f>
        <v>105228.18574287108</v>
      </c>
      <c r="J36" s="100">
        <v>0</v>
      </c>
      <c r="K36" s="100">
        <v>516.53498112061106</v>
      </c>
      <c r="L36" s="100">
        <f>SUM(D36:J36)</f>
        <v>244706.57512935757</v>
      </c>
      <c r="M36" s="69" t="e">
        <f>#REF!</f>
        <v>#REF!</v>
      </c>
      <c r="N36" s="69" t="e">
        <f>#REF!</f>
        <v>#REF!</v>
      </c>
      <c r="O36" s="69" t="e">
        <f>L36-M36-N36</f>
        <v>#REF!</v>
      </c>
      <c r="P36" s="137"/>
      <c r="Q36" s="131"/>
      <c r="R36" s="142">
        <f>'Band Calculations'!K25</f>
        <v>9</v>
      </c>
      <c r="S36" s="131"/>
      <c r="AL36" s="223"/>
      <c r="AM36" s="223"/>
    </row>
    <row r="37" spans="1:47" x14ac:dyDescent="0.2">
      <c r="A37" s="131"/>
      <c r="B37" s="131"/>
      <c r="C37" s="131"/>
      <c r="D37" s="84"/>
      <c r="E37" s="84"/>
      <c r="F37" s="84"/>
      <c r="G37" s="84"/>
      <c r="H37" s="84"/>
      <c r="I37" s="84"/>
      <c r="J37" s="84"/>
      <c r="K37" s="84"/>
      <c r="L37" s="84"/>
      <c r="M37" s="136"/>
      <c r="N37" s="136"/>
      <c r="O37" s="78"/>
      <c r="P37" s="137"/>
      <c r="Q37" s="131"/>
      <c r="R37" s="46"/>
      <c r="S37" s="131"/>
      <c r="AL37" s="223"/>
      <c r="AM37" s="223"/>
    </row>
    <row r="38" spans="1:47" ht="13.5" thickBot="1" x14ac:dyDescent="0.25">
      <c r="A38" s="131"/>
      <c r="B38" s="131"/>
      <c r="C38" s="131"/>
      <c r="D38" s="84"/>
      <c r="E38" s="84"/>
      <c r="F38" s="84"/>
      <c r="G38" s="84"/>
      <c r="H38" s="84"/>
      <c r="I38" s="140">
        <f t="shared" ref="I38:O38" si="26">I26+I35+I36</f>
        <v>15387499.817008913</v>
      </c>
      <c r="J38" s="140">
        <f t="shared" si="26"/>
        <v>237389.66666666666</v>
      </c>
      <c r="K38" s="140">
        <f t="shared" si="26"/>
        <v>15060.39993923875</v>
      </c>
      <c r="L38" s="140" t="e">
        <f t="shared" si="26"/>
        <v>#REF!</v>
      </c>
      <c r="M38" s="140" t="e">
        <f t="shared" si="26"/>
        <v>#REF!</v>
      </c>
      <c r="N38" s="140" t="e">
        <f t="shared" si="26"/>
        <v>#REF!</v>
      </c>
      <c r="O38" s="140" t="e">
        <f t="shared" si="26"/>
        <v>#REF!</v>
      </c>
      <c r="P38" s="137"/>
      <c r="Q38" s="131"/>
      <c r="R38" s="46"/>
      <c r="S38" s="131"/>
      <c r="AL38" s="223"/>
      <c r="AM38" s="223"/>
    </row>
    <row r="39" spans="1:47" s="131" customFormat="1" x14ac:dyDescent="0.2">
      <c r="D39" s="84"/>
      <c r="E39" s="84"/>
      <c r="F39" s="84"/>
      <c r="G39" s="84"/>
      <c r="H39" s="84"/>
      <c r="I39" s="84"/>
      <c r="J39" s="84"/>
      <c r="K39" s="84"/>
      <c r="L39" s="84"/>
      <c r="M39" s="136"/>
      <c r="N39" s="136"/>
      <c r="O39" s="78"/>
      <c r="P39" s="137"/>
      <c r="R39" s="46"/>
      <c r="T39" s="46"/>
      <c r="U39" s="46"/>
      <c r="V39" s="46"/>
      <c r="Z39" s="46"/>
      <c r="AA39" s="46"/>
      <c r="AL39" s="223"/>
      <c r="AM39" s="223"/>
      <c r="AU39" s="46"/>
    </row>
    <row r="40" spans="1:47" x14ac:dyDescent="0.2">
      <c r="C40" s="184" t="s">
        <v>212</v>
      </c>
      <c r="M40" s="133"/>
      <c r="N40" s="93"/>
      <c r="O40" s="83"/>
      <c r="P40" s="84"/>
      <c r="Q40" s="46"/>
      <c r="AL40" s="223"/>
      <c r="AM40" s="223"/>
    </row>
    <row r="41" spans="1:47" x14ac:dyDescent="0.2">
      <c r="C41" s="45">
        <v>1</v>
      </c>
      <c r="D41" s="74" t="s">
        <v>213</v>
      </c>
      <c r="M41" s="80"/>
      <c r="N41" s="80"/>
      <c r="O41" s="78"/>
      <c r="P41" s="46"/>
      <c r="Q41" s="78"/>
      <c r="AL41" s="223"/>
      <c r="AM41" s="223"/>
    </row>
    <row r="42" spans="1:47" x14ac:dyDescent="0.2">
      <c r="C42" s="45">
        <v>2</v>
      </c>
      <c r="D42" s="74" t="s">
        <v>214</v>
      </c>
      <c r="M42" s="57" t="s">
        <v>148</v>
      </c>
      <c r="N42" s="133"/>
      <c r="O42" s="78"/>
      <c r="P42" s="46"/>
      <c r="AL42" s="223"/>
      <c r="AM42" s="223"/>
    </row>
    <row r="43" spans="1:47" x14ac:dyDescent="0.2">
      <c r="C43" s="45">
        <v>3</v>
      </c>
      <c r="D43" s="74" t="s">
        <v>244</v>
      </c>
      <c r="M43" s="52" t="s">
        <v>113</v>
      </c>
      <c r="N43" s="80"/>
      <c r="O43" s="78">
        <v>-281813.35687466699</v>
      </c>
      <c r="P43" s="78"/>
      <c r="Q43" s="78"/>
      <c r="AL43" s="223"/>
      <c r="AM43" s="223"/>
    </row>
    <row r="44" spans="1:47" x14ac:dyDescent="0.2">
      <c r="B44" s="139"/>
      <c r="C44" s="53"/>
      <c r="D44" s="95"/>
      <c r="E44" s="95"/>
      <c r="F44" s="95"/>
      <c r="G44" s="95"/>
      <c r="H44" s="95"/>
      <c r="I44" s="95"/>
      <c r="J44" s="175"/>
      <c r="K44" s="175"/>
      <c r="L44" s="95"/>
      <c r="M44" s="37" t="s">
        <v>115</v>
      </c>
      <c r="N44" s="95"/>
      <c r="O44" s="99">
        <v>62139.81013245543</v>
      </c>
      <c r="P44" s="95"/>
      <c r="Q44" s="86"/>
    </row>
    <row r="45" spans="1:47" x14ac:dyDescent="0.2">
      <c r="B45" s="95"/>
      <c r="C45" s="207" t="s">
        <v>238</v>
      </c>
      <c r="E45" s="95"/>
      <c r="F45" s="95"/>
      <c r="G45" s="95"/>
      <c r="H45" s="95"/>
      <c r="I45" s="95"/>
      <c r="J45" s="175"/>
      <c r="K45" s="175"/>
      <c r="L45" s="95"/>
      <c r="M45" s="95"/>
      <c r="N45" s="95"/>
      <c r="O45" s="143">
        <v>-437308.27314221102</v>
      </c>
      <c r="P45" s="95"/>
      <c r="Q45" s="86"/>
    </row>
    <row r="46" spans="1:47" x14ac:dyDescent="0.2">
      <c r="C46" s="38" t="s">
        <v>239</v>
      </c>
    </row>
    <row r="47" spans="1:47" x14ac:dyDescent="0.2">
      <c r="C47" s="45" t="s">
        <v>240</v>
      </c>
      <c r="D47" s="37" t="s">
        <v>241</v>
      </c>
    </row>
    <row r="48" spans="1:47" x14ac:dyDescent="0.2">
      <c r="C48" s="45" t="s">
        <v>242</v>
      </c>
      <c r="D48" s="37" t="s">
        <v>243</v>
      </c>
    </row>
  </sheetData>
  <customSheetViews>
    <customSheetView guid="{6B129A8F-21F1-407F-BF03-B1785CB23E02}" scale="85" fitToPage="1" hiddenColumns="1" state="hidden">
      <pane xSplit="2" topLeftCell="C1" activePane="topRight" state="frozen"/>
      <selection pane="topRight" activeCell="B13" sqref="B13"/>
      <pageMargins left="0.39370078740157483" right="0.39370078740157483" top="0.98425196850393704" bottom="0.98425196850393704" header="0.51181102362204722" footer="0.51181102362204722"/>
      <pageSetup paperSize="8" scale="41" orientation="landscape" r:id="rId1"/>
      <headerFooter alignWithMargins="0">
        <oddFooter>&amp;F</oddFooter>
      </headerFooter>
    </customSheetView>
  </customSheetViews>
  <mergeCells count="3">
    <mergeCell ref="AB2:AH2"/>
    <mergeCell ref="AI2:AR2"/>
    <mergeCell ref="AL31:AU32"/>
  </mergeCells>
  <phoneticPr fontId="60" type="noConversion"/>
  <pageMargins left="0.39370078740157483" right="0.39370078740157483" top="0.98425196850393704" bottom="0.98425196850393704" header="0.51181102362204722" footer="0.51181102362204722"/>
  <pageSetup paperSize="8" scale="41" orientation="landscape" r:id="rId2"/>
  <headerFooter alignWithMargins="0">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pageSetUpPr fitToPage="1"/>
  </sheetPr>
  <dimension ref="A1:AA48"/>
  <sheetViews>
    <sheetView zoomScale="85" zoomScaleNormal="100" workbookViewId="0">
      <pane xSplit="2" topLeftCell="H1" activePane="topRight" state="frozen"/>
      <selection activeCell="B1" sqref="B1"/>
      <selection pane="topRight" activeCell="U38" sqref="U38"/>
    </sheetView>
  </sheetViews>
  <sheetFormatPr defaultColWidth="10.28515625" defaultRowHeight="12.75" x14ac:dyDescent="0.2"/>
  <cols>
    <col min="1" max="1" width="10.28515625" style="38"/>
    <col min="2" max="2" width="31.5703125" style="38" customWidth="1"/>
    <col min="3" max="3" width="6.140625" style="38" customWidth="1"/>
    <col min="4" max="8" width="15.7109375" style="45" customWidth="1"/>
    <col min="9" max="9" width="15.7109375" style="38" customWidth="1"/>
    <col min="10" max="11" width="15.7109375" style="44" customWidth="1"/>
    <col min="12" max="12" width="15.7109375" style="45" customWidth="1"/>
    <col min="13" max="15" width="15.7109375" style="45" hidden="1" customWidth="1"/>
    <col min="16" max="17" width="15.7109375" style="38" hidden="1" customWidth="1"/>
    <col min="18" max="18" width="10.28515625" style="45" customWidth="1"/>
    <col min="19" max="19" width="0.85546875" style="38" customWidth="1"/>
    <col min="20" max="20" width="10.28515625" style="46" customWidth="1"/>
    <col min="21" max="21" width="11.85546875" style="45" bestFit="1" customWidth="1"/>
    <col min="22" max="22" width="10.28515625" style="45"/>
    <col min="23" max="24" width="10.28515625" style="38"/>
    <col min="25" max="25" width="2.7109375" style="38" customWidth="1"/>
    <col min="26" max="27" width="10.28515625" style="45"/>
    <col min="28" max="16384" width="10.28515625" style="38"/>
  </cols>
  <sheetData>
    <row r="1" spans="1:27" ht="18" x14ac:dyDescent="0.25">
      <c r="B1" s="48" t="s">
        <v>215</v>
      </c>
      <c r="C1" s="37"/>
    </row>
    <row r="2" spans="1:27" x14ac:dyDescent="0.2">
      <c r="B2" s="52"/>
      <c r="C2" s="52"/>
      <c r="R2" s="81"/>
    </row>
    <row r="3" spans="1:27" ht="25.5" customHeight="1" x14ac:dyDescent="0.2">
      <c r="A3" s="239" t="s">
        <v>268</v>
      </c>
      <c r="B3" s="40" t="s">
        <v>66</v>
      </c>
      <c r="C3" s="43" t="s">
        <v>52</v>
      </c>
      <c r="D3" s="145" t="s">
        <v>20</v>
      </c>
      <c r="E3" s="146" t="s">
        <v>21</v>
      </c>
      <c r="F3" s="50" t="s">
        <v>144</v>
      </c>
      <c r="G3" s="41" t="s">
        <v>64</v>
      </c>
      <c r="H3" s="41" t="s">
        <v>114</v>
      </c>
      <c r="I3" s="41" t="s">
        <v>103</v>
      </c>
      <c r="J3" s="174" t="s">
        <v>201</v>
      </c>
      <c r="K3" s="174" t="s">
        <v>237</v>
      </c>
      <c r="L3" s="41" t="s">
        <v>104</v>
      </c>
      <c r="M3" s="70" t="s">
        <v>145</v>
      </c>
      <c r="N3" s="70" t="s">
        <v>146</v>
      </c>
      <c r="O3" s="41" t="s">
        <v>105</v>
      </c>
      <c r="R3" s="70" t="s">
        <v>236</v>
      </c>
      <c r="T3" s="70" t="s">
        <v>151</v>
      </c>
      <c r="U3" s="151" t="s">
        <v>150</v>
      </c>
      <c r="V3" s="151" t="s">
        <v>152</v>
      </c>
      <c r="W3" s="151" t="s">
        <v>203</v>
      </c>
      <c r="X3" s="151" t="s">
        <v>204</v>
      </c>
      <c r="Y3" s="40"/>
      <c r="Z3" s="70" t="s">
        <v>220</v>
      </c>
      <c r="AA3" s="70" t="s">
        <v>263</v>
      </c>
    </row>
    <row r="4" spans="1:27" x14ac:dyDescent="0.2">
      <c r="A4" s="241">
        <v>9257010</v>
      </c>
      <c r="B4" s="42" t="s">
        <v>67</v>
      </c>
      <c r="C4" s="43">
        <v>3</v>
      </c>
      <c r="D4" s="100">
        <f>'Funding Model'!$D$22</f>
        <v>314686.51772419503</v>
      </c>
      <c r="E4" s="100">
        <f>'Funding Model'!$E$22</f>
        <v>69201.680689977453</v>
      </c>
      <c r="F4" s="69"/>
      <c r="G4" s="69"/>
      <c r="H4" s="69"/>
      <c r="I4" s="69">
        <f>'Band Calculations'!U5</f>
        <v>425593.21832531283</v>
      </c>
      <c r="J4" s="100">
        <v>4912</v>
      </c>
      <c r="K4" s="100">
        <v>616.77824313180849</v>
      </c>
      <c r="L4" s="69">
        <f>SUM(D4:K4)</f>
        <v>815010.19498261716</v>
      </c>
      <c r="M4" s="69" t="e">
        <f>#REF!</f>
        <v>#REF!</v>
      </c>
      <c r="N4" s="69" t="e">
        <f>#REF!</f>
        <v>#REF!</v>
      </c>
      <c r="O4" s="69" t="e">
        <f>L4-M4-N4</f>
        <v>#REF!</v>
      </c>
      <c r="R4" s="142">
        <f>'Band Calculations'!V5</f>
        <v>43</v>
      </c>
      <c r="T4" s="151">
        <f>L4/R4</f>
        <v>18953.725464712028</v>
      </c>
      <c r="U4" s="151">
        <f>R4*10000</f>
        <v>430000</v>
      </c>
      <c r="V4" s="151">
        <f>T4-10000</f>
        <v>8953.725464712028</v>
      </c>
      <c r="W4" s="69" t="e">
        <f>#REF!</f>
        <v>#REF!</v>
      </c>
      <c r="X4" s="69" t="e">
        <f>IF(V4&gt;W4,(V4),(W4))</f>
        <v>#REF!</v>
      </c>
      <c r="Y4" s="40"/>
      <c r="Z4" s="41"/>
      <c r="AA4" s="69">
        <f>L4+Z4</f>
        <v>815010.19498261716</v>
      </c>
    </row>
    <row r="5" spans="1:27" x14ac:dyDescent="0.2">
      <c r="A5" s="241">
        <v>9257005</v>
      </c>
      <c r="B5" s="42" t="s">
        <v>68</v>
      </c>
      <c r="C5" s="43">
        <v>3</v>
      </c>
      <c r="D5" s="100">
        <f>'Funding Model'!$D$22</f>
        <v>314686.51772419503</v>
      </c>
      <c r="E5" s="100">
        <f>'Funding Model'!$E$22</f>
        <v>69201.680689977453</v>
      </c>
      <c r="F5" s="69"/>
      <c r="G5" s="69"/>
      <c r="H5" s="69"/>
      <c r="I5" s="69">
        <f>'Band Calculations'!U6</f>
        <v>553473.01366939745</v>
      </c>
      <c r="J5" s="100">
        <v>12055.5</v>
      </c>
      <c r="K5" s="100">
        <v>675.74486784427756</v>
      </c>
      <c r="L5" s="69">
        <f t="shared" ref="L5:L24" si="0">SUM(D5:K5)</f>
        <v>950092.45695141423</v>
      </c>
      <c r="M5" s="69" t="e">
        <f>#REF!</f>
        <v>#REF!</v>
      </c>
      <c r="N5" s="69" t="e">
        <f>#REF!</f>
        <v>#REF!</v>
      </c>
      <c r="O5" s="69" t="e">
        <f t="shared" ref="O5:O16" si="1">L5-M5-N5</f>
        <v>#REF!</v>
      </c>
      <c r="R5" s="142">
        <f>'Band Calculations'!V6</f>
        <v>63</v>
      </c>
      <c r="T5" s="151">
        <f t="shared" ref="T5:T24" si="2">L5/R5</f>
        <v>15080.832650022448</v>
      </c>
      <c r="U5" s="151">
        <f t="shared" ref="U5:U24" si="3">R5*10000</f>
        <v>630000</v>
      </c>
      <c r="V5" s="151">
        <f t="shared" ref="V5:V24" si="4">T5-10000</f>
        <v>5080.8326500224484</v>
      </c>
      <c r="W5" s="69" t="e">
        <f>#REF!</f>
        <v>#REF!</v>
      </c>
      <c r="X5" s="69" t="e">
        <f>IF(V5&gt;W5,(V5),(W5))</f>
        <v>#REF!</v>
      </c>
      <c r="Y5" s="40"/>
      <c r="Z5" s="41"/>
      <c r="AA5" s="69">
        <f t="shared" ref="AA5:AA24" si="5">L5+Z5</f>
        <v>950092.45695141423</v>
      </c>
    </row>
    <row r="6" spans="1:27" x14ac:dyDescent="0.2">
      <c r="A6" s="241">
        <v>9257025</v>
      </c>
      <c r="B6" s="42" t="s">
        <v>69</v>
      </c>
      <c r="C6" s="43">
        <v>3</v>
      </c>
      <c r="D6" s="100">
        <f>'Funding Model'!$D$22</f>
        <v>314686.51772419503</v>
      </c>
      <c r="E6" s="100">
        <f>'Funding Model'!$E$22</f>
        <v>69201.680689977453</v>
      </c>
      <c r="F6" s="69"/>
      <c r="G6" s="69"/>
      <c r="H6" s="69"/>
      <c r="I6" s="69">
        <f>'Band Calculations'!U7</f>
        <v>579103.93872145144</v>
      </c>
      <c r="J6" s="100">
        <v>4465</v>
      </c>
      <c r="K6" s="100">
        <v>646.26155548804309</v>
      </c>
      <c r="L6" s="69">
        <f t="shared" si="0"/>
        <v>968103.39869111194</v>
      </c>
      <c r="M6" s="69" t="e">
        <f>#REF!</f>
        <v>#REF!</v>
      </c>
      <c r="N6" s="69" t="e">
        <f>#REF!</f>
        <v>#REF!</v>
      </c>
      <c r="O6" s="69" t="e">
        <f t="shared" si="1"/>
        <v>#REF!</v>
      </c>
      <c r="R6" s="142">
        <f>'Band Calculations'!V7</f>
        <v>53</v>
      </c>
      <c r="T6" s="151">
        <f t="shared" si="2"/>
        <v>18266.101862096453</v>
      </c>
      <c r="U6" s="151">
        <f t="shared" si="3"/>
        <v>530000</v>
      </c>
      <c r="V6" s="151">
        <f t="shared" si="4"/>
        <v>8266.1018620964533</v>
      </c>
      <c r="W6" s="69" t="e">
        <f>#REF!</f>
        <v>#REF!</v>
      </c>
      <c r="X6" s="69" t="e">
        <f t="shared" ref="X6:X24" si="6">IF(V6&gt;W6,(V6),(W6))</f>
        <v>#REF!</v>
      </c>
      <c r="Y6" s="40"/>
      <c r="Z6" s="41"/>
      <c r="AA6" s="69">
        <f t="shared" si="5"/>
        <v>968103.39869111194</v>
      </c>
    </row>
    <row r="7" spans="1:27" x14ac:dyDescent="0.2">
      <c r="A7" s="241">
        <v>9257011</v>
      </c>
      <c r="B7" s="42" t="s">
        <v>70</v>
      </c>
      <c r="C7" s="43">
        <v>3</v>
      </c>
      <c r="D7" s="100">
        <f>'Funding Model'!$D$22</f>
        <v>314686.51772419503</v>
      </c>
      <c r="E7" s="100">
        <f>'Funding Model'!$E$22</f>
        <v>69201.680689977453</v>
      </c>
      <c r="F7" s="69"/>
      <c r="G7" s="69"/>
      <c r="H7" s="69"/>
      <c r="I7" s="69">
        <f>'Band Calculations'!U8</f>
        <v>431340.2745136476</v>
      </c>
      <c r="J7" s="100">
        <v>4911.5</v>
      </c>
      <c r="K7" s="100">
        <v>610.88158066056155</v>
      </c>
      <c r="L7" s="69">
        <f t="shared" si="0"/>
        <v>820750.85450848076</v>
      </c>
      <c r="M7" s="69" t="e">
        <f>#REF!</f>
        <v>#REF!</v>
      </c>
      <c r="N7" s="69" t="e">
        <f>#REF!</f>
        <v>#REF!</v>
      </c>
      <c r="O7" s="69" t="e">
        <f t="shared" si="1"/>
        <v>#REF!</v>
      </c>
      <c r="R7" s="142">
        <f>'Band Calculations'!V8</f>
        <v>41</v>
      </c>
      <c r="T7" s="151">
        <f t="shared" si="2"/>
        <v>20018.313524597092</v>
      </c>
      <c r="U7" s="151">
        <f t="shared" si="3"/>
        <v>410000</v>
      </c>
      <c r="V7" s="151">
        <f t="shared" si="4"/>
        <v>10018.313524597092</v>
      </c>
      <c r="W7" s="69" t="e">
        <f>#REF!</f>
        <v>#REF!</v>
      </c>
      <c r="X7" s="69" t="e">
        <f t="shared" si="6"/>
        <v>#REF!</v>
      </c>
      <c r="Y7" s="40"/>
      <c r="Z7" s="41"/>
      <c r="AA7" s="69">
        <f t="shared" si="5"/>
        <v>820750.85450848076</v>
      </c>
    </row>
    <row r="8" spans="1:27" x14ac:dyDescent="0.2">
      <c r="A8" s="241">
        <v>9257024</v>
      </c>
      <c r="B8" s="42" t="s">
        <v>71</v>
      </c>
      <c r="C8" s="43">
        <v>3</v>
      </c>
      <c r="D8" s="100">
        <f>'Funding Model'!$D$22</f>
        <v>314686.51772419503</v>
      </c>
      <c r="E8" s="100">
        <f>'Funding Model'!$E$22</f>
        <v>69201.680689977453</v>
      </c>
      <c r="F8" s="69"/>
      <c r="G8" s="69"/>
      <c r="H8" s="69"/>
      <c r="I8" s="69">
        <f>'Band Calculations'!U9</f>
        <v>413562.54341202579</v>
      </c>
      <c r="J8" s="100">
        <v>8483.5</v>
      </c>
      <c r="K8" s="100">
        <v>628.57156807430238</v>
      </c>
      <c r="L8" s="69">
        <f t="shared" si="0"/>
        <v>806562.81339427258</v>
      </c>
      <c r="M8" s="69" t="e">
        <f>#REF!</f>
        <v>#REF!</v>
      </c>
      <c r="N8" s="69" t="e">
        <f>#REF!</f>
        <v>#REF!</v>
      </c>
      <c r="O8" s="69" t="e">
        <f t="shared" si="1"/>
        <v>#REF!</v>
      </c>
      <c r="R8" s="142">
        <f>'Band Calculations'!V9</f>
        <v>47</v>
      </c>
      <c r="T8" s="151">
        <f t="shared" si="2"/>
        <v>17160.910923282394</v>
      </c>
      <c r="U8" s="151">
        <f t="shared" si="3"/>
        <v>470000</v>
      </c>
      <c r="V8" s="151">
        <f t="shared" si="4"/>
        <v>7160.9109232823939</v>
      </c>
      <c r="W8" s="69" t="e">
        <f>#REF!</f>
        <v>#REF!</v>
      </c>
      <c r="X8" s="69" t="e">
        <f t="shared" si="6"/>
        <v>#REF!</v>
      </c>
      <c r="Y8" s="40"/>
      <c r="Z8" s="41"/>
      <c r="AA8" s="69">
        <f t="shared" si="5"/>
        <v>806562.81339427258</v>
      </c>
    </row>
    <row r="9" spans="1:27" x14ac:dyDescent="0.2">
      <c r="A9" s="241">
        <v>9257008</v>
      </c>
      <c r="B9" s="42" t="s">
        <v>73</v>
      </c>
      <c r="C9" s="43">
        <v>3</v>
      </c>
      <c r="D9" s="100">
        <f>'Funding Model'!D22</f>
        <v>314686.51772419503</v>
      </c>
      <c r="E9" s="100">
        <f>'Funding Model'!E22</f>
        <v>69201.680689977453</v>
      </c>
      <c r="F9" s="69"/>
      <c r="G9" s="69"/>
      <c r="H9" s="69"/>
      <c r="I9" s="69">
        <f>'Band Calculations'!U12</f>
        <v>763633.2768432966</v>
      </c>
      <c r="J9" s="100">
        <v>10716</v>
      </c>
      <c r="K9" s="100">
        <v>737.65982379237016</v>
      </c>
      <c r="L9" s="69">
        <f t="shared" si="0"/>
        <v>1158975.1350812614</v>
      </c>
      <c r="M9" s="69" t="e">
        <f>#REF!</f>
        <v>#REF!</v>
      </c>
      <c r="N9" s="69" t="e">
        <f>#REF!</f>
        <v>#REF!</v>
      </c>
      <c r="O9" s="69" t="e">
        <f t="shared" si="1"/>
        <v>#REF!</v>
      </c>
      <c r="R9" s="142">
        <f>'Band Calculations'!V12</f>
        <v>84</v>
      </c>
      <c r="T9" s="151">
        <f t="shared" si="2"/>
        <v>13797.323036681682</v>
      </c>
      <c r="U9" s="151">
        <f t="shared" si="3"/>
        <v>840000</v>
      </c>
      <c r="V9" s="151">
        <f t="shared" si="4"/>
        <v>3797.3230366816824</v>
      </c>
      <c r="W9" s="69" t="e">
        <f>#REF!</f>
        <v>#REF!</v>
      </c>
      <c r="X9" s="69" t="e">
        <f t="shared" si="6"/>
        <v>#REF!</v>
      </c>
      <c r="Y9" s="40"/>
      <c r="Z9" s="41"/>
      <c r="AA9" s="69">
        <f t="shared" si="5"/>
        <v>1158975.1350812614</v>
      </c>
    </row>
    <row r="10" spans="1:27" x14ac:dyDescent="0.2">
      <c r="A10" s="241">
        <v>9257002</v>
      </c>
      <c r="B10" s="42" t="s">
        <v>75</v>
      </c>
      <c r="C10" s="43">
        <v>4</v>
      </c>
      <c r="D10" s="100">
        <f>'Funding Model'!$D$23</f>
        <v>405763.82046267512</v>
      </c>
      <c r="E10" s="100">
        <f>'Funding Model'!$E$23</f>
        <v>88790.687513148558</v>
      </c>
      <c r="F10" s="69"/>
      <c r="G10" s="69"/>
      <c r="H10" s="69"/>
      <c r="I10" s="69">
        <f>'Band Calculations'!U14</f>
        <v>953428.91014556075</v>
      </c>
      <c r="J10" s="100">
        <v>20092.5</v>
      </c>
      <c r="K10" s="100">
        <v>873.28306063104901</v>
      </c>
      <c r="L10" s="69">
        <f t="shared" si="0"/>
        <v>1468949.2011820155</v>
      </c>
      <c r="M10" s="69" t="e">
        <f>#REF!</f>
        <v>#REF!</v>
      </c>
      <c r="N10" s="69" t="e">
        <f>#REF!</f>
        <v>#REF!</v>
      </c>
      <c r="O10" s="69" t="e">
        <f t="shared" si="1"/>
        <v>#REF!</v>
      </c>
      <c r="R10" s="142">
        <f>'Band Calculations'!V14</f>
        <v>130</v>
      </c>
      <c r="T10" s="151">
        <f t="shared" si="2"/>
        <v>11299.609239861658</v>
      </c>
      <c r="U10" s="151">
        <f t="shared" si="3"/>
        <v>1300000</v>
      </c>
      <c r="V10" s="151">
        <f t="shared" si="4"/>
        <v>1299.6092398616584</v>
      </c>
      <c r="W10" s="69" t="e">
        <f>#REF!</f>
        <v>#REF!</v>
      </c>
      <c r="X10" s="69" t="e">
        <f t="shared" si="6"/>
        <v>#REF!</v>
      </c>
      <c r="Y10" s="40"/>
      <c r="Z10" s="41"/>
      <c r="AA10" s="69">
        <f t="shared" si="5"/>
        <v>1468949.2011820155</v>
      </c>
    </row>
    <row r="11" spans="1:27" x14ac:dyDescent="0.2">
      <c r="A11" s="241">
        <v>9257009</v>
      </c>
      <c r="B11" s="42" t="s">
        <v>76</v>
      </c>
      <c r="C11" s="43">
        <v>5</v>
      </c>
      <c r="D11" s="176">
        <v>418723</v>
      </c>
      <c r="E11" s="176">
        <v>117027</v>
      </c>
      <c r="F11" s="69"/>
      <c r="G11" s="69"/>
      <c r="H11" s="69"/>
      <c r="I11" s="69">
        <f>'Band Calculations'!U15</f>
        <v>998240.72223642375</v>
      </c>
      <c r="J11" s="100">
        <v>19199.5</v>
      </c>
      <c r="K11" s="100">
        <v>876.23139186667242</v>
      </c>
      <c r="L11" s="69">
        <f t="shared" si="0"/>
        <v>1554066.4536282904</v>
      </c>
      <c r="M11" s="69" t="e">
        <f>#REF!</f>
        <v>#REF!</v>
      </c>
      <c r="N11" s="69" t="e">
        <f>#REF!</f>
        <v>#REF!</v>
      </c>
      <c r="O11" s="69" t="e">
        <f t="shared" si="1"/>
        <v>#REF!</v>
      </c>
      <c r="R11" s="142">
        <f>'Band Calculations'!V15</f>
        <v>131</v>
      </c>
      <c r="T11" s="151">
        <f t="shared" si="2"/>
        <v>11863.102699452598</v>
      </c>
      <c r="U11" s="151">
        <f t="shared" si="3"/>
        <v>1310000</v>
      </c>
      <c r="V11" s="151">
        <f t="shared" si="4"/>
        <v>1863.1026994525982</v>
      </c>
      <c r="W11" s="69" t="e">
        <f>#REF!</f>
        <v>#REF!</v>
      </c>
      <c r="X11" s="69" t="e">
        <f t="shared" si="6"/>
        <v>#REF!</v>
      </c>
      <c r="Y11" s="40"/>
      <c r="Z11" s="41"/>
      <c r="AA11" s="69">
        <f t="shared" si="5"/>
        <v>1554066.4536282904</v>
      </c>
    </row>
    <row r="12" spans="1:27" x14ac:dyDescent="0.2">
      <c r="A12" s="241">
        <v>9257028</v>
      </c>
      <c r="B12" s="42" t="s">
        <v>77</v>
      </c>
      <c r="C12" s="43">
        <v>5</v>
      </c>
      <c r="D12" s="176">
        <v>418723</v>
      </c>
      <c r="E12" s="176">
        <v>117027</v>
      </c>
      <c r="F12" s="69"/>
      <c r="G12" s="69"/>
      <c r="H12" s="69"/>
      <c r="I12" s="69">
        <f>'Band Calculations'!U19</f>
        <v>772394.9035265795</v>
      </c>
      <c r="J12" s="100">
        <v>9823</v>
      </c>
      <c r="K12" s="100">
        <v>705.22818020051216</v>
      </c>
      <c r="L12" s="69">
        <f t="shared" si="0"/>
        <v>1318673.1317067801</v>
      </c>
      <c r="M12" s="69" t="e">
        <f>#REF!</f>
        <v>#REF!</v>
      </c>
      <c r="N12" s="69" t="e">
        <f>#REF!</f>
        <v>#REF!</v>
      </c>
      <c r="O12" s="69" t="e">
        <f t="shared" si="1"/>
        <v>#REF!</v>
      </c>
      <c r="R12" s="142">
        <f>'Band Calculations'!V19</f>
        <v>73</v>
      </c>
      <c r="T12" s="151">
        <f t="shared" si="2"/>
        <v>18064.015502832604</v>
      </c>
      <c r="U12" s="151">
        <f t="shared" si="3"/>
        <v>730000</v>
      </c>
      <c r="V12" s="151">
        <f t="shared" si="4"/>
        <v>8064.0155028326044</v>
      </c>
      <c r="W12" s="69" t="e">
        <f>#REF!</f>
        <v>#REF!</v>
      </c>
      <c r="X12" s="69" t="e">
        <f t="shared" si="6"/>
        <v>#REF!</v>
      </c>
      <c r="Y12" s="40"/>
      <c r="Z12" s="41"/>
      <c r="AA12" s="69">
        <f t="shared" si="5"/>
        <v>1318673.1317067801</v>
      </c>
    </row>
    <row r="13" spans="1:27" x14ac:dyDescent="0.2">
      <c r="A13" s="241">
        <v>9257021</v>
      </c>
      <c r="B13" s="42" t="s">
        <v>78</v>
      </c>
      <c r="C13" s="43">
        <v>5</v>
      </c>
      <c r="D13" s="100">
        <f>'Funding Model'!$D$24</f>
        <v>418723.18610831723</v>
      </c>
      <c r="E13" s="100">
        <f>'Funding Model'!$E$24</f>
        <v>117027.3922528728</v>
      </c>
      <c r="F13" s="69"/>
      <c r="G13" s="69"/>
      <c r="H13" s="69"/>
      <c r="I13" s="69">
        <f>'Band Calculations'!U20</f>
        <v>1057721.8869930455</v>
      </c>
      <c r="J13" s="100">
        <v>23664.5</v>
      </c>
      <c r="K13" s="100">
        <v>908.66303545853043</v>
      </c>
      <c r="L13" s="69">
        <f t="shared" si="0"/>
        <v>1618045.6283896938</v>
      </c>
      <c r="M13" s="69" t="e">
        <f>#REF!</f>
        <v>#REF!</v>
      </c>
      <c r="N13" s="69" t="e">
        <f>#REF!</f>
        <v>#REF!</v>
      </c>
      <c r="O13" s="69" t="e">
        <f t="shared" si="1"/>
        <v>#REF!</v>
      </c>
      <c r="R13" s="142">
        <f>'Band Calculations'!V20</f>
        <v>142</v>
      </c>
      <c r="T13" s="151">
        <f t="shared" si="2"/>
        <v>11394.687523871084</v>
      </c>
      <c r="U13" s="151">
        <f t="shared" si="3"/>
        <v>1420000</v>
      </c>
      <c r="V13" s="151">
        <f t="shared" si="4"/>
        <v>1394.6875238710836</v>
      </c>
      <c r="W13" s="69" t="e">
        <f>#REF!</f>
        <v>#REF!</v>
      </c>
      <c r="X13" s="69" t="e">
        <f t="shared" si="6"/>
        <v>#REF!</v>
      </c>
      <c r="Y13" s="40"/>
      <c r="Z13" s="41"/>
      <c r="AA13" s="69">
        <f t="shared" si="5"/>
        <v>1618045.6283896938</v>
      </c>
    </row>
    <row r="14" spans="1:27" x14ac:dyDescent="0.2">
      <c r="A14" s="241">
        <v>9257015</v>
      </c>
      <c r="B14" s="42" t="s">
        <v>57</v>
      </c>
      <c r="C14" s="43">
        <v>5</v>
      </c>
      <c r="D14" s="100">
        <f>'Funding Model'!$D$24</f>
        <v>418723.18610831723</v>
      </c>
      <c r="E14" s="100">
        <f>'Funding Model'!$E$24</f>
        <v>117027.3922528728</v>
      </c>
      <c r="F14" s="69"/>
      <c r="G14" s="69"/>
      <c r="H14" s="69">
        <f>(7/12)*29207</f>
        <v>17037.416666666668</v>
      </c>
      <c r="I14" s="69">
        <f>'Band Calculations'!U21</f>
        <v>1707600.4078561282</v>
      </c>
      <c r="J14" s="100">
        <v>33934</v>
      </c>
      <c r="K14" s="100">
        <v>1056.0795972397032</v>
      </c>
      <c r="L14" s="69">
        <f t="shared" si="0"/>
        <v>2295378.4824812249</v>
      </c>
      <c r="M14" s="69" t="e">
        <f>#REF!</f>
        <v>#REF!</v>
      </c>
      <c r="N14" s="69" t="e">
        <f>#REF!</f>
        <v>#REF!</v>
      </c>
      <c r="O14" s="69" t="e">
        <f t="shared" si="1"/>
        <v>#REF!</v>
      </c>
      <c r="R14" s="142">
        <f>'Band Calculations'!V21</f>
        <v>230.83333333333337</v>
      </c>
      <c r="T14" s="151">
        <f t="shared" si="2"/>
        <v>9943.8779024457381</v>
      </c>
      <c r="U14" s="151">
        <f t="shared" si="3"/>
        <v>2308333.3333333335</v>
      </c>
      <c r="V14" s="151">
        <f t="shared" si="4"/>
        <v>-56.122097554261927</v>
      </c>
      <c r="W14" s="69" t="e">
        <f>#REF!</f>
        <v>#REF!</v>
      </c>
      <c r="X14" s="69" t="e">
        <f t="shared" si="6"/>
        <v>#REF!</v>
      </c>
      <c r="Y14" s="40"/>
      <c r="Z14" s="69" t="e">
        <f>(X14-V14)*R14</f>
        <v>#REF!</v>
      </c>
      <c r="AA14" s="69" t="e">
        <f t="shared" si="5"/>
        <v>#REF!</v>
      </c>
    </row>
    <row r="15" spans="1:27" x14ac:dyDescent="0.2">
      <c r="A15" s="241">
        <v>9257017</v>
      </c>
      <c r="B15" s="203" t="s">
        <v>79</v>
      </c>
      <c r="C15" s="204">
        <v>5</v>
      </c>
      <c r="D15" s="205">
        <f>(5/12)*'Funding Model'!$D$24</f>
        <v>174467.99421179885</v>
      </c>
      <c r="E15" s="205">
        <f>(5/12)*'Funding Model'!$E$24</f>
        <v>48761.413438697004</v>
      </c>
      <c r="F15" s="205"/>
      <c r="G15" s="205"/>
      <c r="H15" s="205">
        <f>(5/12)*29207</f>
        <v>12169.583333333334</v>
      </c>
      <c r="I15" s="205">
        <f>'Band Calculations'!U22</f>
        <v>147253.4775666777</v>
      </c>
      <c r="J15" s="205">
        <f>(5/12)*7144</f>
        <v>2976.666666666667</v>
      </c>
      <c r="K15" s="205">
        <v>690.48652402239486</v>
      </c>
      <c r="L15" s="205">
        <f t="shared" si="0"/>
        <v>386319.62174119597</v>
      </c>
      <c r="M15" s="69" t="e">
        <f>#REF!</f>
        <v>#REF!</v>
      </c>
      <c r="N15" s="69" t="e">
        <f>#REF!</f>
        <v>#REF!</v>
      </c>
      <c r="O15" s="69" t="e">
        <f t="shared" si="1"/>
        <v>#REF!</v>
      </c>
      <c r="R15" s="206">
        <f>'Band Calculations'!V22</f>
        <v>15.416666666666668</v>
      </c>
      <c r="T15" s="151">
        <f t="shared" si="2"/>
        <v>25058.570058888385</v>
      </c>
      <c r="U15" s="151">
        <f t="shared" si="3"/>
        <v>154166.66666666669</v>
      </c>
      <c r="V15" s="151">
        <f t="shared" si="4"/>
        <v>15058.570058888385</v>
      </c>
      <c r="W15" s="69" t="e">
        <f>#REF!</f>
        <v>#REF!</v>
      </c>
      <c r="X15" s="69" t="e">
        <f t="shared" si="6"/>
        <v>#REF!</v>
      </c>
      <c r="Y15" s="40"/>
      <c r="Z15" s="69"/>
      <c r="AA15" s="69">
        <f t="shared" si="5"/>
        <v>386319.62174119597</v>
      </c>
    </row>
    <row r="16" spans="1:27" x14ac:dyDescent="0.2">
      <c r="A16" s="241">
        <v>9257016</v>
      </c>
      <c r="B16" s="42" t="s">
        <v>80</v>
      </c>
      <c r="C16" s="43">
        <v>6</v>
      </c>
      <c r="D16" s="100">
        <f>'Funding Model'!D25</f>
        <v>493762.11190507573</v>
      </c>
      <c r="E16" s="100">
        <f>'Funding Model'!E25</f>
        <v>131719.7894229154</v>
      </c>
      <c r="F16" s="69"/>
      <c r="G16" s="69"/>
      <c r="H16" s="69"/>
      <c r="I16" s="69">
        <f>'Band Calculations'!U23</f>
        <v>1449833.142735743</v>
      </c>
      <c r="J16" s="100">
        <v>12055.5</v>
      </c>
      <c r="K16" s="100">
        <v>832.00642333232065</v>
      </c>
      <c r="L16" s="69">
        <f t="shared" si="0"/>
        <v>2088202.5504870664</v>
      </c>
      <c r="M16" s="69" t="e">
        <f>#REF!</f>
        <v>#REF!</v>
      </c>
      <c r="N16" s="69" t="e">
        <f>#REF!-#REF!</f>
        <v>#REF!</v>
      </c>
      <c r="O16" s="69" t="e">
        <f t="shared" si="1"/>
        <v>#REF!</v>
      </c>
      <c r="R16" s="142">
        <f>'Band Calculations'!V23</f>
        <v>129</v>
      </c>
      <c r="T16" s="151">
        <f t="shared" si="2"/>
        <v>16187.616670442376</v>
      </c>
      <c r="U16" s="151">
        <f t="shared" si="3"/>
        <v>1290000</v>
      </c>
      <c r="V16" s="151">
        <f t="shared" si="4"/>
        <v>6187.6166704423758</v>
      </c>
      <c r="W16" s="69" t="e">
        <f>#REF!</f>
        <v>#REF!</v>
      </c>
      <c r="X16" s="69" t="e">
        <f t="shared" si="6"/>
        <v>#REF!</v>
      </c>
      <c r="Y16" s="40"/>
      <c r="Z16" s="69" t="e">
        <f>(X16-V16)*R16</f>
        <v>#REF!</v>
      </c>
      <c r="AA16" s="69" t="e">
        <f t="shared" si="5"/>
        <v>#REF!</v>
      </c>
    </row>
    <row r="17" spans="1:27" ht="25.5" x14ac:dyDescent="0.2">
      <c r="A17" s="241"/>
      <c r="B17" s="42"/>
      <c r="C17" s="43"/>
      <c r="D17" s="69"/>
      <c r="E17" s="69"/>
      <c r="F17" s="69"/>
      <c r="G17" s="69"/>
      <c r="H17" s="69"/>
      <c r="I17" s="69"/>
      <c r="J17" s="100"/>
      <c r="K17" s="100"/>
      <c r="L17" s="69"/>
      <c r="M17" s="69"/>
      <c r="N17" s="76"/>
      <c r="O17" s="76"/>
      <c r="P17" s="70" t="s">
        <v>106</v>
      </c>
      <c r="Q17" s="94" t="s">
        <v>107</v>
      </c>
      <c r="R17" s="41"/>
      <c r="T17" s="151"/>
      <c r="U17" s="151"/>
      <c r="V17" s="151"/>
      <c r="W17" s="69"/>
      <c r="X17" s="69"/>
      <c r="Y17" s="40"/>
      <c r="Z17" s="69"/>
      <c r="AA17" s="69"/>
    </row>
    <row r="18" spans="1:27" x14ac:dyDescent="0.2">
      <c r="A18" s="241">
        <v>9257031</v>
      </c>
      <c r="B18" s="47" t="s">
        <v>81</v>
      </c>
      <c r="C18" s="43">
        <v>3</v>
      </c>
      <c r="D18" s="100">
        <f>'Funding Model'!D26</f>
        <v>280697.16623783787</v>
      </c>
      <c r="E18" s="100">
        <f>'Funding Model'!E26</f>
        <v>55663.058379368813</v>
      </c>
      <c r="F18" s="69"/>
      <c r="G18" s="69" t="e">
        <f>#REF!</f>
        <v>#REF!</v>
      </c>
      <c r="H18" s="69"/>
      <c r="I18" s="69">
        <f>'Band Calculations'!U10</f>
        <v>873951.18016309384</v>
      </c>
      <c r="J18" s="100">
        <v>10716</v>
      </c>
      <c r="K18" s="100">
        <v>669.84820537303062</v>
      </c>
      <c r="L18" s="69" t="e">
        <f t="shared" si="0"/>
        <v>#REF!</v>
      </c>
      <c r="M18" s="69" t="e">
        <f>#REF!</f>
        <v>#REF!</v>
      </c>
      <c r="N18" s="69" t="e">
        <f>#REF!</f>
        <v>#REF!</v>
      </c>
      <c r="O18" s="69" t="e">
        <f>L18-M18-N18</f>
        <v>#REF!</v>
      </c>
      <c r="P18" s="69" t="e">
        <f>#REF!</f>
        <v>#REF!</v>
      </c>
      <c r="Q18" s="69" t="e">
        <f>O18+P18</f>
        <v>#REF!</v>
      </c>
      <c r="R18" s="142">
        <f>'Band Calculations'!V10</f>
        <v>61</v>
      </c>
      <c r="T18" s="151" t="e">
        <f t="shared" si="2"/>
        <v>#REF!</v>
      </c>
      <c r="U18" s="151">
        <f t="shared" si="3"/>
        <v>610000</v>
      </c>
      <c r="V18" s="151" t="e">
        <f t="shared" si="4"/>
        <v>#REF!</v>
      </c>
      <c r="W18" s="69" t="e">
        <f>#REF!</f>
        <v>#REF!</v>
      </c>
      <c r="X18" s="69" t="e">
        <f t="shared" si="6"/>
        <v>#REF!</v>
      </c>
      <c r="Y18" s="40"/>
      <c r="Z18" s="69"/>
      <c r="AA18" s="69" t="e">
        <f t="shared" si="5"/>
        <v>#REF!</v>
      </c>
    </row>
    <row r="19" spans="1:27" x14ac:dyDescent="0.2">
      <c r="A19" s="241">
        <v>9257029</v>
      </c>
      <c r="B19" s="47" t="s">
        <v>84</v>
      </c>
      <c r="C19" s="43">
        <v>4</v>
      </c>
      <c r="D19" s="100">
        <f>'Funding Model'!$D$27</f>
        <v>360067.26321081078</v>
      </c>
      <c r="E19" s="100">
        <f>'Funding Model'!$E$27</f>
        <v>58044.118057617408</v>
      </c>
      <c r="F19" s="69"/>
      <c r="G19" s="69" t="e">
        <f>#REF!</f>
        <v>#REF!</v>
      </c>
      <c r="H19" s="69"/>
      <c r="I19" s="69">
        <f>'Band Calculations'!U16</f>
        <v>888278.24869035766</v>
      </c>
      <c r="J19" s="100">
        <v>10269.5</v>
      </c>
      <c r="K19" s="100">
        <v>672.79653660865415</v>
      </c>
      <c r="L19" s="69" t="e">
        <f t="shared" si="0"/>
        <v>#REF!</v>
      </c>
      <c r="M19" s="69" t="e">
        <f>#REF!</f>
        <v>#REF!</v>
      </c>
      <c r="N19" s="69" t="e">
        <f>#REF!</f>
        <v>#REF!</v>
      </c>
      <c r="O19" s="69" t="e">
        <f>L19-M19-N19</f>
        <v>#REF!</v>
      </c>
      <c r="P19" s="69" t="e">
        <f>#REF!</f>
        <v>#REF!</v>
      </c>
      <c r="Q19" s="69" t="e">
        <f>O19+P19</f>
        <v>#REF!</v>
      </c>
      <c r="R19" s="142">
        <f>'Band Calculations'!V16</f>
        <v>62.000000000000007</v>
      </c>
      <c r="T19" s="151" t="e">
        <f t="shared" si="2"/>
        <v>#REF!</v>
      </c>
      <c r="U19" s="151">
        <f t="shared" si="3"/>
        <v>620000.00000000012</v>
      </c>
      <c r="V19" s="151" t="e">
        <f t="shared" si="4"/>
        <v>#REF!</v>
      </c>
      <c r="W19" s="69" t="e">
        <f>#REF!</f>
        <v>#REF!</v>
      </c>
      <c r="X19" s="69" t="e">
        <f t="shared" si="6"/>
        <v>#REF!</v>
      </c>
      <c r="Y19" s="40" t="s">
        <v>218</v>
      </c>
      <c r="Z19" s="69" t="e">
        <f>(X19-V19)*R19</f>
        <v>#REF!</v>
      </c>
      <c r="AA19" s="69" t="e">
        <f t="shared" si="5"/>
        <v>#REF!</v>
      </c>
    </row>
    <row r="20" spans="1:27" x14ac:dyDescent="0.2">
      <c r="A20" s="241">
        <v>9257032</v>
      </c>
      <c r="B20" s="47" t="s">
        <v>82</v>
      </c>
      <c r="C20" s="43">
        <v>5</v>
      </c>
      <c r="D20" s="100">
        <f>'Funding Model'!$D$27</f>
        <v>360067.26321081078</v>
      </c>
      <c r="E20" s="100">
        <f>'Funding Model'!$E$27</f>
        <v>58044.118057617408</v>
      </c>
      <c r="F20" s="100"/>
      <c r="G20" s="69" t="e">
        <f>#REF!</f>
        <v>#REF!</v>
      </c>
      <c r="H20" s="69"/>
      <c r="I20" s="69">
        <f>'Band Calculations'!U17</f>
        <v>845297.04310856608</v>
      </c>
      <c r="J20" s="100">
        <v>12948.5</v>
      </c>
      <c r="K20" s="100">
        <v>663.9515429017838</v>
      </c>
      <c r="L20" s="69" t="e">
        <f t="shared" si="0"/>
        <v>#REF!</v>
      </c>
      <c r="M20" s="69" t="e">
        <f>#REF!</f>
        <v>#REF!</v>
      </c>
      <c r="N20" s="69" t="e">
        <f>#REF!</f>
        <v>#REF!</v>
      </c>
      <c r="O20" s="69" t="e">
        <f>L20-M20-N20</f>
        <v>#REF!</v>
      </c>
      <c r="P20" s="69" t="e">
        <f>#REF!</f>
        <v>#REF!</v>
      </c>
      <c r="Q20" s="69" t="e">
        <f>O20+P20</f>
        <v>#REF!</v>
      </c>
      <c r="R20" s="142">
        <f>'Band Calculations'!V17</f>
        <v>59.000000000000007</v>
      </c>
      <c r="T20" s="151" t="e">
        <f t="shared" si="2"/>
        <v>#REF!</v>
      </c>
      <c r="U20" s="151">
        <f t="shared" si="3"/>
        <v>590000.00000000012</v>
      </c>
      <c r="V20" s="151" t="e">
        <f t="shared" si="4"/>
        <v>#REF!</v>
      </c>
      <c r="W20" s="69" t="e">
        <f>#REF!</f>
        <v>#REF!</v>
      </c>
      <c r="X20" s="69" t="e">
        <f t="shared" si="6"/>
        <v>#REF!</v>
      </c>
      <c r="Y20" s="40" t="s">
        <v>218</v>
      </c>
      <c r="Z20" s="69" t="e">
        <f>(X20-V20)*R20</f>
        <v>#REF!</v>
      </c>
      <c r="AA20" s="69" t="e">
        <f t="shared" si="5"/>
        <v>#REF!</v>
      </c>
    </row>
    <row r="21" spans="1:27" x14ac:dyDescent="0.2">
      <c r="A21" s="241">
        <v>9257030</v>
      </c>
      <c r="B21" s="47" t="s">
        <v>83</v>
      </c>
      <c r="C21" s="43">
        <v>4</v>
      </c>
      <c r="D21" s="100">
        <f>'Funding Model'!$D$27</f>
        <v>360067.26321081078</v>
      </c>
      <c r="E21" s="100">
        <f>'Funding Model'!$E$27</f>
        <v>58044.118057617408</v>
      </c>
      <c r="F21" s="69"/>
      <c r="G21" s="69" t="e">
        <f>#REF!</f>
        <v>#REF!</v>
      </c>
      <c r="H21" s="69"/>
      <c r="I21" s="69">
        <f>'Band Calculations'!U18</f>
        <v>787988.76899951079</v>
      </c>
      <c r="J21" s="100">
        <v>8483.5</v>
      </c>
      <c r="K21" s="100">
        <v>652.15821795928991</v>
      </c>
      <c r="L21" s="69" t="e">
        <f t="shared" si="0"/>
        <v>#REF!</v>
      </c>
      <c r="M21" s="69" t="e">
        <f>#REF!</f>
        <v>#REF!</v>
      </c>
      <c r="N21" s="69" t="e">
        <f>#REF!</f>
        <v>#REF!</v>
      </c>
      <c r="O21" s="69" t="e">
        <f>L21-M21-N21</f>
        <v>#REF!</v>
      </c>
      <c r="P21" s="69" t="e">
        <f>#REF!</f>
        <v>#REF!</v>
      </c>
      <c r="Q21" s="69" t="e">
        <f>O21+P21</f>
        <v>#REF!</v>
      </c>
      <c r="R21" s="142">
        <f>'Band Calculations'!V18</f>
        <v>55</v>
      </c>
      <c r="T21" s="151" t="e">
        <f t="shared" si="2"/>
        <v>#REF!</v>
      </c>
      <c r="U21" s="151">
        <f t="shared" si="3"/>
        <v>550000</v>
      </c>
      <c r="V21" s="151" t="e">
        <f t="shared" si="4"/>
        <v>#REF!</v>
      </c>
      <c r="W21" s="69" t="e">
        <f>#REF!</f>
        <v>#REF!</v>
      </c>
      <c r="X21" s="69" t="e">
        <f t="shared" si="6"/>
        <v>#REF!</v>
      </c>
      <c r="Y21" s="40" t="s">
        <v>218</v>
      </c>
      <c r="Z21" s="69" t="e">
        <f>(X21-V21)*R21</f>
        <v>#REF!</v>
      </c>
      <c r="AA21" s="69" t="e">
        <f t="shared" si="5"/>
        <v>#REF!</v>
      </c>
    </row>
    <row r="22" spans="1:27" x14ac:dyDescent="0.2">
      <c r="A22" s="241"/>
      <c r="B22" s="47"/>
      <c r="C22" s="43"/>
      <c r="D22" s="100"/>
      <c r="E22" s="100"/>
      <c r="F22" s="69"/>
      <c r="G22" s="69"/>
      <c r="H22" s="69"/>
      <c r="I22" s="69"/>
      <c r="J22" s="100"/>
      <c r="K22" s="100"/>
      <c r="L22" s="69"/>
      <c r="M22" s="77"/>
      <c r="N22" s="77"/>
      <c r="O22" s="69"/>
      <c r="P22" s="57"/>
      <c r="Q22" s="57"/>
      <c r="R22" s="41"/>
      <c r="T22" s="151"/>
      <c r="U22" s="151"/>
      <c r="V22" s="151"/>
      <c r="W22" s="69"/>
      <c r="X22" s="69"/>
      <c r="Y22" s="40"/>
      <c r="Z22" s="41"/>
      <c r="AA22" s="69"/>
    </row>
    <row r="23" spans="1:27" x14ac:dyDescent="0.2">
      <c r="A23" s="241">
        <v>9257033</v>
      </c>
      <c r="B23" s="42" t="s">
        <v>72</v>
      </c>
      <c r="C23" s="43">
        <v>3</v>
      </c>
      <c r="D23" s="100">
        <f>'Funding Model'!$D$22</f>
        <v>314686.51772419503</v>
      </c>
      <c r="E23" s="100">
        <f>'Funding Model'!$E$22</f>
        <v>69201.680689977453</v>
      </c>
      <c r="F23" s="69"/>
      <c r="G23" s="69"/>
      <c r="H23" s="69"/>
      <c r="I23" s="69">
        <f>'Band Calculations'!U11</f>
        <v>505498.28651081503</v>
      </c>
      <c r="J23" s="100">
        <v>11162.5</v>
      </c>
      <c r="K23" s="100">
        <v>666.89987413740721</v>
      </c>
      <c r="L23" s="69">
        <f t="shared" si="0"/>
        <v>901215.88479912491</v>
      </c>
      <c r="M23" s="97" t="e">
        <f>#REF!</f>
        <v>#REF!</v>
      </c>
      <c r="N23" s="97" t="e">
        <f>#REF!</f>
        <v>#REF!</v>
      </c>
      <c r="O23" s="69" t="e">
        <f>L23-M23-N23</f>
        <v>#REF!</v>
      </c>
      <c r="P23" s="57"/>
      <c r="Q23" s="57"/>
      <c r="R23" s="142">
        <f>'Band Calculations'!V11</f>
        <v>60</v>
      </c>
      <c r="T23" s="151">
        <f t="shared" si="2"/>
        <v>15020.264746652081</v>
      </c>
      <c r="U23" s="151">
        <f t="shared" si="3"/>
        <v>600000</v>
      </c>
      <c r="V23" s="151">
        <f t="shared" si="4"/>
        <v>5020.2647466520812</v>
      </c>
      <c r="W23" s="69" t="e">
        <f>#REF!</f>
        <v>#REF!</v>
      </c>
      <c r="X23" s="69" t="e">
        <f t="shared" si="6"/>
        <v>#REF!</v>
      </c>
      <c r="Y23" s="40"/>
      <c r="Z23" s="41"/>
      <c r="AA23" s="69">
        <f t="shared" si="5"/>
        <v>901215.88479912491</v>
      </c>
    </row>
    <row r="24" spans="1:27" x14ac:dyDescent="0.2">
      <c r="A24" s="241">
        <v>9257034</v>
      </c>
      <c r="B24" s="42" t="s">
        <v>74</v>
      </c>
      <c r="C24" s="43">
        <v>4</v>
      </c>
      <c r="D24" s="100">
        <f>'Funding Model'!$D$23</f>
        <v>405763.82046267512</v>
      </c>
      <c r="E24" s="100">
        <f>'Funding Model'!$E$23</f>
        <v>88790.687513148558</v>
      </c>
      <c r="F24" s="69"/>
      <c r="G24" s="69"/>
      <c r="H24" s="69"/>
      <c r="I24" s="69">
        <f>'Band Calculations'!U13</f>
        <v>894237.97448646929</v>
      </c>
      <c r="J24" s="100">
        <v>16074</v>
      </c>
      <c r="K24" s="100">
        <v>811.36810468295653</v>
      </c>
      <c r="L24" s="69">
        <f t="shared" si="0"/>
        <v>1405677.850566976</v>
      </c>
      <c r="M24" s="79" t="e">
        <f>#REF!</f>
        <v>#REF!</v>
      </c>
      <c r="N24" s="79" t="e">
        <f>#REF!</f>
        <v>#REF!</v>
      </c>
      <c r="O24" s="69" t="e">
        <f>L24-M24-N24</f>
        <v>#REF!</v>
      </c>
      <c r="R24" s="142">
        <f>'Band Calculations'!V13</f>
        <v>109</v>
      </c>
      <c r="T24" s="151">
        <f t="shared" si="2"/>
        <v>12896.127069421798</v>
      </c>
      <c r="U24" s="151">
        <f t="shared" si="3"/>
        <v>1090000</v>
      </c>
      <c r="V24" s="151">
        <f t="shared" si="4"/>
        <v>2896.1270694217983</v>
      </c>
      <c r="W24" s="69" t="e">
        <f>#REF!</f>
        <v>#REF!</v>
      </c>
      <c r="X24" s="69" t="e">
        <f t="shared" si="6"/>
        <v>#REF!</v>
      </c>
      <c r="Y24" s="40"/>
      <c r="Z24" s="41"/>
      <c r="AA24" s="69">
        <f t="shared" si="5"/>
        <v>1405677.850566976</v>
      </c>
    </row>
    <row r="25" spans="1:27" x14ac:dyDescent="0.2">
      <c r="B25" s="55"/>
      <c r="C25" s="66"/>
      <c r="D25" s="46"/>
      <c r="E25" s="46"/>
      <c r="F25" s="46"/>
      <c r="G25" s="46"/>
      <c r="H25" s="46"/>
      <c r="I25" s="46"/>
      <c r="J25" s="84"/>
      <c r="K25" s="84"/>
      <c r="M25" s="46"/>
      <c r="N25" s="46"/>
    </row>
    <row r="26" spans="1:27" ht="13.5" customHeight="1" thickBot="1" x14ac:dyDescent="0.25">
      <c r="D26" s="140">
        <f t="shared" ref="D26:R26" si="7">SUM(D4:D24)</f>
        <v>6718354.6991984947</v>
      </c>
      <c r="E26" s="140">
        <f t="shared" si="7"/>
        <v>1540378.5397757187</v>
      </c>
      <c r="F26" s="140"/>
      <c r="G26" s="140" t="e">
        <f t="shared" si="7"/>
        <v>#REF!</v>
      </c>
      <c r="H26" s="140">
        <f t="shared" si="7"/>
        <v>29207</v>
      </c>
      <c r="I26" s="140">
        <f t="shared" si="7"/>
        <v>15048431.218504105</v>
      </c>
      <c r="J26" s="140">
        <f t="shared" si="7"/>
        <v>236943.16666666666</v>
      </c>
      <c r="K26" s="140">
        <f t="shared" si="7"/>
        <v>13994.89833340567</v>
      </c>
      <c r="L26" s="140" t="e">
        <f>SUM(L4:L24)</f>
        <v>#REF!</v>
      </c>
      <c r="M26" s="140" t="e">
        <f t="shared" si="7"/>
        <v>#REF!</v>
      </c>
      <c r="N26" s="140" t="e">
        <f t="shared" si="7"/>
        <v>#REF!</v>
      </c>
      <c r="O26" s="140" t="e">
        <f t="shared" si="7"/>
        <v>#REF!</v>
      </c>
      <c r="P26" s="140" t="e">
        <f t="shared" si="7"/>
        <v>#REF!</v>
      </c>
      <c r="Q26" s="140" t="e">
        <f t="shared" si="7"/>
        <v>#REF!</v>
      </c>
      <c r="R26" s="188">
        <f t="shared" si="7"/>
        <v>1588.2500000000002</v>
      </c>
      <c r="S26" s="57"/>
      <c r="U26" s="75">
        <f>SUM(U4:U24)</f>
        <v>15882500</v>
      </c>
      <c r="V26" s="74" t="s">
        <v>205</v>
      </c>
    </row>
    <row r="27" spans="1:27" x14ac:dyDescent="0.2">
      <c r="B27" s="44"/>
      <c r="C27" s="44"/>
      <c r="D27" s="83"/>
      <c r="E27" s="83"/>
      <c r="F27" s="83"/>
      <c r="G27" s="83"/>
      <c r="H27" s="83"/>
      <c r="I27" s="44"/>
      <c r="L27" s="83"/>
      <c r="M27" s="46"/>
      <c r="N27" s="46"/>
      <c r="Q27" s="130"/>
      <c r="R27" s="132"/>
      <c r="S27" s="57"/>
      <c r="U27" s="46" t="e">
        <f>L26-U26</f>
        <v>#REF!</v>
      </c>
      <c r="V27" s="74" t="s">
        <v>206</v>
      </c>
    </row>
    <row r="28" spans="1:27" x14ac:dyDescent="0.2">
      <c r="B28" s="44"/>
      <c r="C28" s="44"/>
      <c r="D28" s="83"/>
      <c r="E28" s="83"/>
      <c r="F28" s="83"/>
      <c r="G28" s="83"/>
      <c r="H28" s="83"/>
      <c r="I28" s="44"/>
      <c r="L28" s="83"/>
      <c r="M28" s="46"/>
      <c r="N28" s="46"/>
      <c r="Q28" s="130"/>
      <c r="R28" s="132"/>
      <c r="S28" s="57"/>
      <c r="U28" s="46" t="e">
        <f>SUM(Z4:Z24)</f>
        <v>#REF!</v>
      </c>
      <c r="V28" s="74" t="s">
        <v>219</v>
      </c>
    </row>
    <row r="29" spans="1:27" ht="13.5" thickBot="1" x14ac:dyDescent="0.25">
      <c r="B29" s="44" t="s">
        <v>211</v>
      </c>
      <c r="C29" s="44"/>
      <c r="D29" s="84">
        <v>6936691.532020363</v>
      </c>
      <c r="E29" s="84">
        <v>1552171.8936161916</v>
      </c>
      <c r="F29" s="84">
        <v>0</v>
      </c>
      <c r="G29" s="84">
        <v>335900</v>
      </c>
      <c r="H29" s="84">
        <v>29207</v>
      </c>
      <c r="I29" s="84">
        <v>14844589.983838988</v>
      </c>
      <c r="J29" s="84" t="e">
        <f>#REF!</f>
        <v>#REF!</v>
      </c>
      <c r="K29" s="84"/>
      <c r="L29" s="84" t="e">
        <f>SUM(D29:J29)</f>
        <v>#REF!</v>
      </c>
      <c r="M29" s="46"/>
      <c r="N29" s="46"/>
      <c r="Q29" s="130"/>
      <c r="R29" s="185">
        <v>0</v>
      </c>
      <c r="S29" s="57"/>
      <c r="U29" s="75" t="e">
        <f>SUM(U27:U28)</f>
        <v>#REF!</v>
      </c>
      <c r="V29" s="74"/>
    </row>
    <row r="30" spans="1:27" x14ac:dyDescent="0.2">
      <c r="B30" s="44"/>
      <c r="C30" s="44"/>
      <c r="D30" s="84"/>
      <c r="E30" s="84"/>
      <c r="F30" s="84"/>
      <c r="G30" s="84"/>
      <c r="H30" s="84"/>
      <c r="I30" s="84"/>
      <c r="J30" s="84"/>
      <c r="K30" s="84"/>
      <c r="L30" s="84"/>
      <c r="M30" s="46"/>
      <c r="N30" s="46"/>
      <c r="Q30" s="130"/>
      <c r="R30" s="185"/>
      <c r="S30" s="57"/>
      <c r="U30" s="189"/>
      <c r="V30" s="74"/>
    </row>
    <row r="31" spans="1:27" s="178" customFormat="1" x14ac:dyDescent="0.2">
      <c r="B31" s="177" t="s">
        <v>105</v>
      </c>
      <c r="C31" s="177"/>
      <c r="D31" s="179">
        <f>D26-D29</f>
        <v>-218336.83282186836</v>
      </c>
      <c r="E31" s="179">
        <f t="shared" ref="E31:L31" si="8">E26-E29</f>
        <v>-11793.353840472875</v>
      </c>
      <c r="F31" s="179">
        <f t="shared" si="8"/>
        <v>0</v>
      </c>
      <c r="G31" s="179" t="e">
        <f t="shared" si="8"/>
        <v>#REF!</v>
      </c>
      <c r="H31" s="179">
        <f t="shared" si="8"/>
        <v>0</v>
      </c>
      <c r="I31" s="179">
        <f t="shared" si="8"/>
        <v>203841.2346651163</v>
      </c>
      <c r="J31" s="179" t="e">
        <f t="shared" si="8"/>
        <v>#REF!</v>
      </c>
      <c r="K31" s="179"/>
      <c r="L31" s="179" t="e">
        <f t="shared" si="8"/>
        <v>#REF!</v>
      </c>
      <c r="M31" s="180"/>
      <c r="N31" s="180"/>
      <c r="O31" s="181"/>
      <c r="Q31" s="182"/>
      <c r="R31" s="186">
        <f>R26-R29</f>
        <v>1588.2500000000002</v>
      </c>
      <c r="S31" s="149"/>
      <c r="T31" s="180"/>
      <c r="U31" s="46" t="e">
        <f>U26+U29</f>
        <v>#REF!</v>
      </c>
      <c r="V31" s="74" t="s">
        <v>221</v>
      </c>
      <c r="W31" s="38"/>
      <c r="X31" s="38"/>
      <c r="Z31" s="181"/>
      <c r="AA31" s="181"/>
    </row>
    <row r="32" spans="1:27" x14ac:dyDescent="0.2">
      <c r="B32" s="44" t="s">
        <v>212</v>
      </c>
      <c r="C32" s="44"/>
      <c r="D32" s="83">
        <v>1</v>
      </c>
      <c r="E32" s="83">
        <v>1</v>
      </c>
      <c r="F32" s="83"/>
      <c r="G32" s="83">
        <v>2</v>
      </c>
      <c r="H32" s="83"/>
      <c r="I32" s="83">
        <v>3</v>
      </c>
      <c r="L32" s="83">
        <v>4</v>
      </c>
      <c r="M32" s="46"/>
      <c r="N32" s="46"/>
      <c r="Q32" s="130"/>
      <c r="R32" s="185"/>
      <c r="S32" s="57"/>
      <c r="U32" s="46" t="e">
        <f>L26</f>
        <v>#REF!</v>
      </c>
      <c r="V32" s="74" t="s">
        <v>222</v>
      </c>
    </row>
    <row r="33" spans="1:27" x14ac:dyDescent="0.2">
      <c r="B33" s="44"/>
      <c r="C33" s="44"/>
      <c r="D33" s="83"/>
      <c r="E33" s="83"/>
      <c r="F33" s="83"/>
      <c r="G33" s="83"/>
      <c r="H33" s="83"/>
      <c r="I33" s="44"/>
      <c r="L33" s="83"/>
      <c r="M33" s="46"/>
      <c r="N33" s="46"/>
      <c r="Q33" s="130"/>
      <c r="R33" s="132"/>
      <c r="S33" s="57"/>
      <c r="T33" s="180" t="s">
        <v>102</v>
      </c>
      <c r="U33" s="180" t="e">
        <f>U31-U32</f>
        <v>#REF!</v>
      </c>
      <c r="V33" s="183" t="s">
        <v>223</v>
      </c>
      <c r="W33" s="178"/>
    </row>
    <row r="34" spans="1:27" x14ac:dyDescent="0.2">
      <c r="D34" s="83"/>
      <c r="E34" s="83"/>
      <c r="F34" s="83"/>
      <c r="G34" s="83"/>
      <c r="H34" s="83"/>
      <c r="I34" s="44"/>
      <c r="L34" s="83"/>
    </row>
    <row r="35" spans="1:27" x14ac:dyDescent="0.2">
      <c r="A35" s="131"/>
      <c r="B35" s="138" t="s">
        <v>137</v>
      </c>
      <c r="C35" s="138"/>
      <c r="D35" s="100">
        <f>'Funding Model'!D29</f>
        <v>311632.88595405407</v>
      </c>
      <c r="E35" s="100">
        <f>'Funding Model'!E29</f>
        <v>45920</v>
      </c>
      <c r="F35" s="100">
        <f>'Funding Model'!D33</f>
        <v>408510</v>
      </c>
      <c r="G35" s="100"/>
      <c r="H35" s="100"/>
      <c r="I35" s="100">
        <f>'Band Calculations'!U24</f>
        <v>233840.41276193576</v>
      </c>
      <c r="J35" s="100">
        <v>446.5</v>
      </c>
      <c r="K35" s="100">
        <v>548.96662471246907</v>
      </c>
      <c r="L35" s="100">
        <f>SUM(D35:J35)</f>
        <v>1000349.7987159898</v>
      </c>
      <c r="M35" s="69" t="e">
        <f>#REF!</f>
        <v>#REF!</v>
      </c>
      <c r="N35" s="69" t="e">
        <f>#REF!</f>
        <v>#REF!</v>
      </c>
      <c r="O35" s="69" t="e">
        <f>L35-M35-N35</f>
        <v>#REF!</v>
      </c>
      <c r="P35" s="131"/>
      <c r="Q35" s="131"/>
      <c r="R35" s="142">
        <f>'Band Calculations'!K24</f>
        <v>20</v>
      </c>
      <c r="S35" s="131"/>
    </row>
    <row r="36" spans="1:27" x14ac:dyDescent="0.2">
      <c r="A36" s="131"/>
      <c r="B36" s="138" t="s">
        <v>138</v>
      </c>
      <c r="C36" s="138"/>
      <c r="D36" s="100">
        <f>'Funding Model'!D28</f>
        <v>120796.88938648649</v>
      </c>
      <c r="E36" s="100">
        <f>'Funding Model'!E28</f>
        <v>18681.5</v>
      </c>
      <c r="F36" s="100"/>
      <c r="G36" s="100"/>
      <c r="H36" s="100"/>
      <c r="I36" s="100">
        <f>'Band Calculations'!U25</f>
        <v>105228.18574287108</v>
      </c>
      <c r="J36" s="100">
        <v>0</v>
      </c>
      <c r="K36" s="100">
        <v>516.53498112061106</v>
      </c>
      <c r="L36" s="100">
        <f>SUM(D36:J36)</f>
        <v>244706.57512935757</v>
      </c>
      <c r="M36" s="69" t="e">
        <f>#REF!</f>
        <v>#REF!</v>
      </c>
      <c r="N36" s="69" t="e">
        <f>#REF!</f>
        <v>#REF!</v>
      </c>
      <c r="O36" s="69" t="e">
        <f>L36-M36-N36</f>
        <v>#REF!</v>
      </c>
      <c r="P36" s="137"/>
      <c r="Q36" s="131"/>
      <c r="R36" s="142">
        <f>'Band Calculations'!K25</f>
        <v>9</v>
      </c>
      <c r="S36" s="131"/>
    </row>
    <row r="37" spans="1:27" x14ac:dyDescent="0.2">
      <c r="A37" s="131"/>
      <c r="B37" s="131"/>
      <c r="C37" s="131"/>
      <c r="D37" s="84"/>
      <c r="E37" s="84"/>
      <c r="F37" s="84"/>
      <c r="G37" s="84"/>
      <c r="H37" s="84"/>
      <c r="I37" s="84"/>
      <c r="J37" s="84"/>
      <c r="K37" s="84"/>
      <c r="L37" s="84"/>
      <c r="M37" s="136"/>
      <c r="N37" s="136"/>
      <c r="O37" s="78"/>
      <c r="P37" s="137"/>
      <c r="Q37" s="131"/>
      <c r="R37" s="46"/>
      <c r="S37" s="131"/>
      <c r="V37" s="45" t="s">
        <v>208</v>
      </c>
    </row>
    <row r="38" spans="1:27" ht="13.5" thickBot="1" x14ac:dyDescent="0.25">
      <c r="A38" s="131"/>
      <c r="B38" s="131"/>
      <c r="C38" s="131"/>
      <c r="D38" s="84"/>
      <c r="E38" s="84"/>
      <c r="F38" s="84"/>
      <c r="G38" s="84"/>
      <c r="H38" s="84"/>
      <c r="I38" s="140">
        <f t="shared" ref="I38:O38" si="9">I26+I35+I36</f>
        <v>15387499.817008913</v>
      </c>
      <c r="J38" s="140">
        <f t="shared" si="9"/>
        <v>237389.66666666666</v>
      </c>
      <c r="K38" s="140">
        <f t="shared" si="9"/>
        <v>15060.39993923875</v>
      </c>
      <c r="L38" s="140" t="e">
        <f t="shared" si="9"/>
        <v>#REF!</v>
      </c>
      <c r="M38" s="140" t="e">
        <f t="shared" si="9"/>
        <v>#REF!</v>
      </c>
      <c r="N38" s="140" t="e">
        <f t="shared" si="9"/>
        <v>#REF!</v>
      </c>
      <c r="O38" s="140" t="e">
        <f t="shared" si="9"/>
        <v>#REF!</v>
      </c>
      <c r="P38" s="137"/>
      <c r="Q38" s="131"/>
      <c r="R38" s="46"/>
      <c r="S38" s="131"/>
      <c r="U38" s="45" t="s">
        <v>209</v>
      </c>
    </row>
    <row r="39" spans="1:27" s="131" customFormat="1" x14ac:dyDescent="0.2">
      <c r="D39" s="84"/>
      <c r="E39" s="84"/>
      <c r="F39" s="84"/>
      <c r="G39" s="84"/>
      <c r="H39" s="84"/>
      <c r="I39" s="84"/>
      <c r="J39" s="84"/>
      <c r="K39" s="84"/>
      <c r="L39" s="84"/>
      <c r="M39" s="136"/>
      <c r="N39" s="136"/>
      <c r="O39" s="78"/>
      <c r="P39" s="137"/>
      <c r="R39" s="46"/>
      <c r="T39" s="46"/>
      <c r="U39" s="46"/>
      <c r="V39" s="46"/>
      <c r="Z39" s="46"/>
      <c r="AA39" s="46"/>
    </row>
    <row r="40" spans="1:27" x14ac:dyDescent="0.2">
      <c r="C40" s="184" t="s">
        <v>212</v>
      </c>
      <c r="M40" s="133"/>
      <c r="N40" s="93"/>
      <c r="O40" s="83"/>
      <c r="P40" s="84"/>
      <c r="Q40" s="46"/>
    </row>
    <row r="41" spans="1:27" x14ac:dyDescent="0.2">
      <c r="C41" s="45">
        <v>1</v>
      </c>
      <c r="D41" s="74" t="s">
        <v>213</v>
      </c>
      <c r="M41" s="80"/>
      <c r="N41" s="80"/>
      <c r="O41" s="78"/>
      <c r="P41" s="46"/>
      <c r="Q41" s="78"/>
    </row>
    <row r="42" spans="1:27" x14ac:dyDescent="0.2">
      <c r="C42" s="45">
        <v>2</v>
      </c>
      <c r="D42" s="74" t="s">
        <v>214</v>
      </c>
      <c r="M42" s="57" t="s">
        <v>148</v>
      </c>
      <c r="N42" s="133"/>
      <c r="O42" s="78"/>
      <c r="P42" s="46"/>
    </row>
    <row r="43" spans="1:27" x14ac:dyDescent="0.2">
      <c r="C43" s="45">
        <v>3</v>
      </c>
      <c r="D43" s="74" t="s">
        <v>244</v>
      </c>
      <c r="M43" s="52" t="s">
        <v>113</v>
      </c>
      <c r="N43" s="80"/>
      <c r="O43" s="78">
        <v>-281813.35687466699</v>
      </c>
      <c r="P43" s="78"/>
      <c r="Q43" s="78"/>
    </row>
    <row r="44" spans="1:27" x14ac:dyDescent="0.2">
      <c r="B44" s="139"/>
      <c r="C44" s="53"/>
      <c r="D44" s="95"/>
      <c r="E44" s="95"/>
      <c r="F44" s="95"/>
      <c r="G44" s="95"/>
      <c r="H44" s="95"/>
      <c r="I44" s="95"/>
      <c r="J44" s="175"/>
      <c r="K44" s="175"/>
      <c r="L44" s="95"/>
      <c r="M44" s="37" t="s">
        <v>115</v>
      </c>
      <c r="N44" s="95"/>
      <c r="O44" s="99">
        <v>62139.81013245543</v>
      </c>
      <c r="P44" s="95"/>
      <c r="Q44" s="86"/>
    </row>
    <row r="45" spans="1:27" x14ac:dyDescent="0.2">
      <c r="B45" s="95"/>
      <c r="C45" s="207" t="s">
        <v>238</v>
      </c>
      <c r="E45" s="95"/>
      <c r="F45" s="95"/>
      <c r="G45" s="95"/>
      <c r="H45" s="95"/>
      <c r="I45" s="95"/>
      <c r="J45" s="175"/>
      <c r="K45" s="175"/>
      <c r="L45" s="95"/>
      <c r="M45" s="95"/>
      <c r="N45" s="95"/>
      <c r="O45" s="143">
        <v>-437308.27314221102</v>
      </c>
      <c r="P45" s="95"/>
      <c r="Q45" s="86"/>
    </row>
    <row r="46" spans="1:27" x14ac:dyDescent="0.2">
      <c r="C46" s="38" t="s">
        <v>239</v>
      </c>
    </row>
    <row r="47" spans="1:27" x14ac:dyDescent="0.2">
      <c r="C47" s="45" t="s">
        <v>240</v>
      </c>
      <c r="D47" s="37" t="s">
        <v>241</v>
      </c>
    </row>
    <row r="48" spans="1:27" x14ac:dyDescent="0.2">
      <c r="C48" s="45" t="s">
        <v>242</v>
      </c>
      <c r="D48" s="37" t="s">
        <v>243</v>
      </c>
    </row>
  </sheetData>
  <customSheetViews>
    <customSheetView guid="{6B129A8F-21F1-407F-BF03-B1785CB23E02}" scale="85" fitToPage="1" hiddenColumns="1" state="hidden">
      <pane xSplit="2" topLeftCell="H1" activePane="topRight" state="frozen"/>
      <selection pane="topRight" activeCell="U38" sqref="U38"/>
      <pageMargins left="0.39370078740157483" right="0.39370078740157483" top="0.98425196850393704" bottom="0.98425196850393704" header="0.51181102362204722" footer="0.51181102362204722"/>
      <pageSetup paperSize="9" scale="51" orientation="landscape" r:id="rId1"/>
      <headerFooter alignWithMargins="0">
        <oddFooter>&amp;F</oddFooter>
      </headerFooter>
    </customSheetView>
  </customSheetViews>
  <phoneticPr fontId="19" type="noConversion"/>
  <pageMargins left="0.39370078740157483" right="0.39370078740157483" top="0.98425196850393704" bottom="0.98425196850393704" header="0.51181102362204722" footer="0.51181102362204722"/>
  <pageSetup paperSize="9" scale="51" orientation="landscape" r:id="rId2"/>
  <headerFooter alignWithMargins="0">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A1:M5"/>
  <sheetViews>
    <sheetView zoomScale="85" workbookViewId="0">
      <selection activeCell="J4" sqref="J4:J5"/>
    </sheetView>
  </sheetViews>
  <sheetFormatPr defaultRowHeight="12.75" x14ac:dyDescent="0.2"/>
  <cols>
    <col min="2" max="2" width="21.85546875" customWidth="1"/>
    <col min="3" max="3" width="6.140625" bestFit="1" customWidth="1"/>
    <col min="4" max="4" width="12.5703125" bestFit="1" customWidth="1"/>
    <col min="5" max="5" width="7.5703125" bestFit="1" customWidth="1"/>
    <col min="6" max="6" width="8.28515625" customWidth="1"/>
    <col min="7" max="7" width="8.5703125" bestFit="1" customWidth="1"/>
    <col min="8" max="8" width="14.42578125" bestFit="1" customWidth="1"/>
    <col min="9" max="9" width="9.28515625" bestFit="1" customWidth="1"/>
    <col min="10" max="10" width="11" bestFit="1" customWidth="1"/>
    <col min="11" max="11" width="10" bestFit="1" customWidth="1"/>
    <col min="12" max="12" width="11.85546875" bestFit="1" customWidth="1"/>
  </cols>
  <sheetData>
    <row r="1" spans="1:13" ht="15" x14ac:dyDescent="0.2">
      <c r="A1" s="38"/>
      <c r="B1" s="150" t="s">
        <v>312</v>
      </c>
      <c r="C1" s="38"/>
      <c r="D1" s="45"/>
      <c r="E1" s="45"/>
      <c r="F1" s="45"/>
      <c r="G1" s="45"/>
      <c r="H1" s="38"/>
      <c r="I1" s="38"/>
      <c r="J1" s="38"/>
      <c r="K1" s="38"/>
      <c r="L1" s="45"/>
      <c r="M1" s="45"/>
    </row>
    <row r="2" spans="1:13" x14ac:dyDescent="0.2">
      <c r="A2" s="38"/>
      <c r="B2" s="52"/>
      <c r="C2" s="52"/>
      <c r="D2" s="45"/>
      <c r="E2" s="45"/>
      <c r="F2" s="45"/>
      <c r="G2" s="45"/>
      <c r="H2" s="38"/>
      <c r="I2" s="38"/>
      <c r="J2" s="38"/>
      <c r="K2" s="38"/>
      <c r="L2" s="45"/>
      <c r="M2" s="81"/>
    </row>
    <row r="3" spans="1:13" s="21" customFormat="1" ht="38.25" x14ac:dyDescent="0.2">
      <c r="A3" s="326" t="s">
        <v>268</v>
      </c>
      <c r="B3" s="326" t="s">
        <v>66</v>
      </c>
      <c r="C3" s="330" t="s">
        <v>52</v>
      </c>
      <c r="D3" s="327" t="s">
        <v>20</v>
      </c>
      <c r="E3" s="327" t="s">
        <v>21</v>
      </c>
      <c r="F3" s="328" t="s">
        <v>64</v>
      </c>
      <c r="G3" s="328" t="s">
        <v>114</v>
      </c>
      <c r="H3" s="328" t="s">
        <v>103</v>
      </c>
      <c r="I3" s="328" t="s">
        <v>200</v>
      </c>
      <c r="J3" s="328" t="s">
        <v>85</v>
      </c>
      <c r="K3" s="328" t="s">
        <v>237</v>
      </c>
      <c r="L3" s="328" t="s">
        <v>104</v>
      </c>
      <c r="M3" s="328" t="s">
        <v>311</v>
      </c>
    </row>
    <row r="4" spans="1:13" x14ac:dyDescent="0.2">
      <c r="A4" s="295">
        <v>9257012</v>
      </c>
      <c r="B4" s="138" t="s">
        <v>137</v>
      </c>
      <c r="C4" s="329"/>
      <c r="D4" s="100">
        <f>'Funding Model'!D29</f>
        <v>311632.88595405407</v>
      </c>
      <c r="E4" s="100">
        <f>'Funding Model'!E29</f>
        <v>45920</v>
      </c>
      <c r="F4" s="9"/>
      <c r="G4" s="9"/>
      <c r="H4" s="23">
        <f>'Band Calculations'!U24</f>
        <v>233840.41276193576</v>
      </c>
      <c r="I4" s="9"/>
      <c r="J4" s="141">
        <v>447</v>
      </c>
      <c r="K4" s="23">
        <v>549</v>
      </c>
      <c r="L4" s="23">
        <f>SUM(D4:K4)</f>
        <v>592389.2987159898</v>
      </c>
      <c r="M4" s="9">
        <v>20</v>
      </c>
    </row>
    <row r="5" spans="1:13" x14ac:dyDescent="0.2">
      <c r="A5" s="295">
        <v>9257003</v>
      </c>
      <c r="B5" s="138" t="s">
        <v>138</v>
      </c>
      <c r="C5" s="329"/>
      <c r="D5" s="100">
        <f>'Funding Model'!D28</f>
        <v>120796.88938648649</v>
      </c>
      <c r="E5" s="100">
        <f>'Funding Model'!E28</f>
        <v>18681.5</v>
      </c>
      <c r="F5" s="9"/>
      <c r="G5" s="9"/>
      <c r="H5" s="23">
        <f>'Band Calculations'!U25</f>
        <v>105228.18574287108</v>
      </c>
      <c r="I5" s="9"/>
      <c r="J5" s="141">
        <v>0</v>
      </c>
      <c r="K5" s="23">
        <v>517</v>
      </c>
      <c r="L5" s="23">
        <f>SUM(D5:K5)</f>
        <v>245223.57512935757</v>
      </c>
      <c r="M5" s="9">
        <v>9</v>
      </c>
    </row>
  </sheetData>
  <customSheetViews>
    <customSheetView guid="{6B129A8F-21F1-407F-BF03-B1785CB23E02}" scale="85" state="hidden">
      <selection activeCell="J4" sqref="J4:J5"/>
      <pageMargins left="0.75" right="0.75" top="1" bottom="1" header="0.5" footer="0.5"/>
      <pageSetup paperSize="9" orientation="portrait" horizontalDpi="1200" verticalDpi="1200" r:id="rId1"/>
      <headerFooter alignWithMargins="0"/>
    </customSheetView>
  </customSheetViews>
  <phoneticPr fontId="60" type="noConversion"/>
  <pageMargins left="0.75" right="0.75" top="1" bottom="1" header="0.5" footer="0.5"/>
  <pageSetup paperSize="9" orientation="portrait" horizontalDpi="1200" verticalDpi="12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O29"/>
  <sheetViews>
    <sheetView topLeftCell="A4" workbookViewId="0">
      <selection activeCell="A18" sqref="A18"/>
    </sheetView>
  </sheetViews>
  <sheetFormatPr defaultRowHeight="12.75" x14ac:dyDescent="0.2"/>
  <cols>
    <col min="1" max="1" width="30.140625" bestFit="1" customWidth="1"/>
    <col min="12" max="12" width="10.85546875" bestFit="1" customWidth="1"/>
  </cols>
  <sheetData>
    <row r="3" spans="1:15" x14ac:dyDescent="0.2">
      <c r="A3" s="153" t="s">
        <v>153</v>
      </c>
      <c r="B3" s="154" t="s">
        <v>154</v>
      </c>
      <c r="C3" s="155" t="s">
        <v>155</v>
      </c>
      <c r="D3" s="155" t="s">
        <v>156</v>
      </c>
      <c r="E3" s="155" t="s">
        <v>157</v>
      </c>
      <c r="F3" s="155" t="s">
        <v>158</v>
      </c>
      <c r="G3" s="155" t="s">
        <v>159</v>
      </c>
      <c r="H3" s="155" t="s">
        <v>160</v>
      </c>
      <c r="I3" s="155" t="s">
        <v>161</v>
      </c>
      <c r="J3" s="155" t="s">
        <v>162</v>
      </c>
      <c r="K3" s="155" t="s">
        <v>163</v>
      </c>
      <c r="L3" s="155" t="s">
        <v>164</v>
      </c>
      <c r="M3" s="155" t="s">
        <v>165</v>
      </c>
      <c r="N3" s="156" t="s">
        <v>166</v>
      </c>
      <c r="O3" s="157" t="s">
        <v>167</v>
      </c>
    </row>
    <row r="4" spans="1:15" x14ac:dyDescent="0.2">
      <c r="A4" s="158"/>
      <c r="B4" s="154" t="s">
        <v>168</v>
      </c>
      <c r="C4" s="158"/>
      <c r="D4" s="158"/>
      <c r="E4" s="155" t="s">
        <v>169</v>
      </c>
      <c r="F4" s="155" t="s">
        <v>157</v>
      </c>
      <c r="G4" s="155" t="s">
        <v>169</v>
      </c>
      <c r="H4" s="155" t="s">
        <v>170</v>
      </c>
      <c r="I4" s="155" t="s">
        <v>171</v>
      </c>
      <c r="J4" s="155" t="s">
        <v>172</v>
      </c>
      <c r="K4" s="155" t="s">
        <v>170</v>
      </c>
      <c r="L4" s="155" t="s">
        <v>170</v>
      </c>
      <c r="M4" s="158"/>
      <c r="N4" s="156" t="s">
        <v>173</v>
      </c>
      <c r="O4" s="157" t="s">
        <v>173</v>
      </c>
    </row>
    <row r="5" spans="1:15" x14ac:dyDescent="0.2">
      <c r="A5" s="158"/>
      <c r="B5" s="154" t="s">
        <v>174</v>
      </c>
      <c r="C5" s="158"/>
      <c r="D5" s="158"/>
      <c r="E5" s="158"/>
      <c r="F5" s="155" t="s">
        <v>169</v>
      </c>
      <c r="G5" s="158"/>
      <c r="H5" s="158"/>
      <c r="I5" s="158"/>
      <c r="J5" s="155" t="s">
        <v>175</v>
      </c>
      <c r="K5" s="158"/>
      <c r="L5" s="158"/>
      <c r="M5" s="158"/>
      <c r="N5" s="156" t="s">
        <v>176</v>
      </c>
      <c r="O5" s="157" t="s">
        <v>176</v>
      </c>
    </row>
    <row r="6" spans="1:15" x14ac:dyDescent="0.2">
      <c r="A6" s="158"/>
      <c r="B6" s="154" t="s">
        <v>177</v>
      </c>
      <c r="C6" s="155" t="s">
        <v>177</v>
      </c>
      <c r="D6" s="155" t="s">
        <v>177</v>
      </c>
      <c r="E6" s="155" t="s">
        <v>177</v>
      </c>
      <c r="F6" s="155" t="s">
        <v>177</v>
      </c>
      <c r="G6" s="155" t="s">
        <v>177</v>
      </c>
      <c r="H6" s="155" t="s">
        <v>177</v>
      </c>
      <c r="I6" s="155" t="s">
        <v>177</v>
      </c>
      <c r="J6" s="155" t="s">
        <v>177</v>
      </c>
      <c r="K6" s="155" t="s">
        <v>177</v>
      </c>
      <c r="L6" s="155" t="s">
        <v>177</v>
      </c>
      <c r="M6" s="155" t="s">
        <v>177</v>
      </c>
      <c r="N6" s="156" t="s">
        <v>177</v>
      </c>
      <c r="O6" s="157" t="s">
        <v>177</v>
      </c>
    </row>
    <row r="7" spans="1:15" x14ac:dyDescent="0.2">
      <c r="A7" s="159" t="s">
        <v>178</v>
      </c>
      <c r="B7" s="160" t="s">
        <v>179</v>
      </c>
      <c r="C7" s="161" t="s">
        <v>180</v>
      </c>
      <c r="D7" s="161" t="s">
        <v>181</v>
      </c>
      <c r="E7" s="161" t="s">
        <v>182</v>
      </c>
      <c r="F7" s="161" t="s">
        <v>183</v>
      </c>
      <c r="G7" s="161" t="s">
        <v>184</v>
      </c>
      <c r="H7" s="161" t="s">
        <v>185</v>
      </c>
      <c r="I7" s="161" t="s">
        <v>186</v>
      </c>
      <c r="J7" s="161" t="s">
        <v>187</v>
      </c>
      <c r="K7" s="161" t="s">
        <v>188</v>
      </c>
      <c r="L7" s="161" t="s">
        <v>189</v>
      </c>
      <c r="M7" s="161" t="s">
        <v>190</v>
      </c>
      <c r="N7" s="162" t="s">
        <v>191</v>
      </c>
      <c r="O7" s="162" t="s">
        <v>192</v>
      </c>
    </row>
    <row r="8" spans="1:15" x14ac:dyDescent="0.2">
      <c r="A8" s="163" t="s">
        <v>86</v>
      </c>
      <c r="B8" s="164">
        <v>4465</v>
      </c>
      <c r="C8" s="165">
        <v>0</v>
      </c>
      <c r="D8" s="165">
        <v>35258</v>
      </c>
      <c r="E8" s="165">
        <v>314686.52</v>
      </c>
      <c r="F8" s="165">
        <v>69201.679999999993</v>
      </c>
      <c r="G8" s="165">
        <v>0</v>
      </c>
      <c r="H8" s="165">
        <v>415695.7</v>
      </c>
      <c r="I8" s="165">
        <v>0</v>
      </c>
      <c r="J8" s="165">
        <v>0</v>
      </c>
      <c r="K8" s="165">
        <v>0</v>
      </c>
      <c r="L8" s="165">
        <v>0</v>
      </c>
      <c r="M8" s="165">
        <v>3.1</v>
      </c>
      <c r="N8" s="166">
        <v>839310</v>
      </c>
      <c r="O8" s="167">
        <v>839310</v>
      </c>
    </row>
    <row r="9" spans="1:15" x14ac:dyDescent="0.2">
      <c r="A9" s="163" t="s">
        <v>193</v>
      </c>
      <c r="B9" s="164">
        <v>8930</v>
      </c>
      <c r="C9" s="165">
        <v>60000</v>
      </c>
      <c r="D9" s="165">
        <v>0</v>
      </c>
      <c r="E9" s="165">
        <v>360067.26</v>
      </c>
      <c r="F9" s="165">
        <v>58044.12</v>
      </c>
      <c r="G9" s="165">
        <v>83975</v>
      </c>
      <c r="H9" s="165">
        <v>888278.25</v>
      </c>
      <c r="I9" s="165">
        <v>0</v>
      </c>
      <c r="J9" s="165">
        <v>0</v>
      </c>
      <c r="K9" s="165">
        <v>0</v>
      </c>
      <c r="L9" s="165">
        <v>97045</v>
      </c>
      <c r="M9" s="165">
        <v>0.37</v>
      </c>
      <c r="N9" s="166">
        <v>1556340</v>
      </c>
      <c r="O9" s="167">
        <v>1556340</v>
      </c>
    </row>
    <row r="10" spans="1:15" x14ac:dyDescent="0.2">
      <c r="A10" s="163" t="s">
        <v>194</v>
      </c>
      <c r="B10" s="164">
        <v>5358</v>
      </c>
      <c r="C10" s="165">
        <v>0</v>
      </c>
      <c r="D10" s="165">
        <v>0</v>
      </c>
      <c r="E10" s="165">
        <v>360067.26</v>
      </c>
      <c r="F10" s="165">
        <v>58044.12</v>
      </c>
      <c r="G10" s="165">
        <v>83975</v>
      </c>
      <c r="H10" s="165">
        <v>873951.18</v>
      </c>
      <c r="I10" s="165">
        <v>0</v>
      </c>
      <c r="J10" s="165">
        <v>0</v>
      </c>
      <c r="K10" s="165">
        <v>0</v>
      </c>
      <c r="L10" s="165">
        <v>108062</v>
      </c>
      <c r="M10" s="165">
        <v>2.44</v>
      </c>
      <c r="N10" s="166">
        <v>1489460</v>
      </c>
      <c r="O10" s="167">
        <v>1489460</v>
      </c>
    </row>
    <row r="11" spans="1:15" x14ac:dyDescent="0.2">
      <c r="A11" s="163" t="s">
        <v>195</v>
      </c>
      <c r="B11" s="164">
        <v>9376.5</v>
      </c>
      <c r="C11" s="165">
        <v>0</v>
      </c>
      <c r="D11" s="165">
        <v>0</v>
      </c>
      <c r="E11" s="165">
        <v>280697.17</v>
      </c>
      <c r="F11" s="165">
        <v>55663.06</v>
      </c>
      <c r="G11" s="165">
        <v>83975</v>
      </c>
      <c r="H11" s="165">
        <v>787988.77</v>
      </c>
      <c r="I11" s="165">
        <v>0</v>
      </c>
      <c r="J11" s="165">
        <v>0</v>
      </c>
      <c r="K11" s="165">
        <v>0</v>
      </c>
      <c r="L11" s="165">
        <v>0</v>
      </c>
      <c r="M11" s="165">
        <v>9.51</v>
      </c>
      <c r="N11" s="166">
        <v>1217710</v>
      </c>
      <c r="O11" s="167">
        <v>1217710</v>
      </c>
    </row>
    <row r="12" spans="1:15" x14ac:dyDescent="0.2">
      <c r="A12" s="163" t="s">
        <v>87</v>
      </c>
      <c r="B12" s="164">
        <v>12502</v>
      </c>
      <c r="C12" s="165">
        <v>51500</v>
      </c>
      <c r="D12" s="165">
        <v>0</v>
      </c>
      <c r="E12" s="165">
        <v>314686.52</v>
      </c>
      <c r="F12" s="165">
        <v>69201.679999999993</v>
      </c>
      <c r="G12" s="165">
        <v>0</v>
      </c>
      <c r="H12" s="165">
        <v>718178.92</v>
      </c>
      <c r="I12" s="165">
        <v>89320</v>
      </c>
      <c r="J12" s="165">
        <v>0</v>
      </c>
      <c r="K12" s="165">
        <v>0</v>
      </c>
      <c r="L12" s="165">
        <v>0</v>
      </c>
      <c r="M12" s="165">
        <v>0.89</v>
      </c>
      <c r="N12" s="166">
        <v>1255390</v>
      </c>
      <c r="O12" s="167">
        <v>1255390</v>
      </c>
    </row>
    <row r="13" spans="1:15" x14ac:dyDescent="0.2">
      <c r="A13" s="163" t="s">
        <v>54</v>
      </c>
      <c r="B13" s="164">
        <v>17413.5</v>
      </c>
      <c r="C13" s="165">
        <v>60000</v>
      </c>
      <c r="D13" s="165">
        <v>0</v>
      </c>
      <c r="E13" s="165">
        <v>405763.82</v>
      </c>
      <c r="F13" s="165">
        <v>88790.69</v>
      </c>
      <c r="G13" s="165">
        <v>0</v>
      </c>
      <c r="H13" s="165">
        <v>902090.43</v>
      </c>
      <c r="I13" s="165">
        <v>0</v>
      </c>
      <c r="J13" s="165">
        <v>0</v>
      </c>
      <c r="K13" s="165">
        <v>0</v>
      </c>
      <c r="L13" s="165">
        <v>0</v>
      </c>
      <c r="M13" s="165">
        <v>1.56</v>
      </c>
      <c r="N13" s="166">
        <v>1474060</v>
      </c>
      <c r="O13" s="167">
        <v>1474060</v>
      </c>
    </row>
    <row r="14" spans="1:15" x14ac:dyDescent="0.2">
      <c r="A14" s="163" t="s">
        <v>88</v>
      </c>
      <c r="B14" s="164">
        <v>10716</v>
      </c>
      <c r="C14" s="165">
        <v>0</v>
      </c>
      <c r="D14" s="165">
        <v>35258</v>
      </c>
      <c r="E14" s="165">
        <v>314686.52</v>
      </c>
      <c r="F14" s="165">
        <v>69201.679999999993</v>
      </c>
      <c r="G14" s="165">
        <v>0</v>
      </c>
      <c r="H14" s="165">
        <v>527117.16</v>
      </c>
      <c r="I14" s="165">
        <v>0</v>
      </c>
      <c r="J14" s="165">
        <v>0</v>
      </c>
      <c r="K14" s="165">
        <v>0</v>
      </c>
      <c r="L14" s="165">
        <v>0</v>
      </c>
      <c r="M14" s="165">
        <v>0.65</v>
      </c>
      <c r="N14" s="166">
        <v>956980</v>
      </c>
      <c r="O14" s="167">
        <v>956980</v>
      </c>
    </row>
    <row r="15" spans="1:15" x14ac:dyDescent="0.2">
      <c r="A15" s="163" t="s">
        <v>196</v>
      </c>
      <c r="B15" s="164">
        <v>16074</v>
      </c>
      <c r="C15" s="165">
        <v>0</v>
      </c>
      <c r="D15" s="165">
        <v>0</v>
      </c>
      <c r="E15" s="165">
        <v>405763.82</v>
      </c>
      <c r="F15" s="165">
        <v>88790.69</v>
      </c>
      <c r="G15" s="165">
        <v>0</v>
      </c>
      <c r="H15" s="165">
        <v>943462.08</v>
      </c>
      <c r="I15" s="165">
        <v>0</v>
      </c>
      <c r="J15" s="165">
        <v>0</v>
      </c>
      <c r="K15" s="165">
        <v>0</v>
      </c>
      <c r="L15" s="165">
        <v>-92093</v>
      </c>
      <c r="M15" s="165">
        <v>2.41</v>
      </c>
      <c r="N15" s="166">
        <v>1362000</v>
      </c>
      <c r="O15" s="167">
        <v>1362000</v>
      </c>
    </row>
    <row r="16" spans="1:15" x14ac:dyDescent="0.2">
      <c r="A16" s="163" t="s">
        <v>58</v>
      </c>
      <c r="B16" s="164">
        <v>16074</v>
      </c>
      <c r="C16" s="165">
        <v>0</v>
      </c>
      <c r="D16" s="165">
        <v>0</v>
      </c>
      <c r="E16" s="165">
        <v>418723.19</v>
      </c>
      <c r="F16" s="165">
        <v>117027.39</v>
      </c>
      <c r="G16" s="165">
        <v>0</v>
      </c>
      <c r="H16" s="165">
        <v>1020478.16</v>
      </c>
      <c r="I16" s="165">
        <v>0</v>
      </c>
      <c r="J16" s="165">
        <v>0</v>
      </c>
      <c r="K16" s="165">
        <v>274420</v>
      </c>
      <c r="L16" s="165">
        <v>-187951.57</v>
      </c>
      <c r="M16" s="165">
        <v>8.84</v>
      </c>
      <c r="N16" s="166">
        <v>1658780</v>
      </c>
      <c r="O16" s="167">
        <v>1658780</v>
      </c>
    </row>
    <row r="17" spans="1:15" x14ac:dyDescent="0.2">
      <c r="A17" s="163" t="s">
        <v>197</v>
      </c>
      <c r="B17" s="164">
        <v>8037</v>
      </c>
      <c r="C17" s="165">
        <v>0</v>
      </c>
      <c r="D17" s="165">
        <v>35258</v>
      </c>
      <c r="E17" s="165">
        <v>314686.52</v>
      </c>
      <c r="F17" s="165">
        <v>69201.679999999993</v>
      </c>
      <c r="G17" s="165">
        <v>0</v>
      </c>
      <c r="H17" s="165">
        <v>438098.52</v>
      </c>
      <c r="I17" s="165">
        <v>0</v>
      </c>
      <c r="J17" s="165">
        <v>0</v>
      </c>
      <c r="K17" s="165">
        <v>0</v>
      </c>
      <c r="L17" s="165">
        <v>0</v>
      </c>
      <c r="M17" s="165">
        <v>8.2899999999999991</v>
      </c>
      <c r="N17" s="166">
        <v>865290</v>
      </c>
      <c r="O17" s="167">
        <v>865290</v>
      </c>
    </row>
    <row r="18" spans="1:15" x14ac:dyDescent="0.2">
      <c r="A18" s="163" t="s">
        <v>56</v>
      </c>
      <c r="B18" s="164">
        <v>5358</v>
      </c>
      <c r="C18" s="165">
        <v>0</v>
      </c>
      <c r="D18" s="165">
        <v>35258</v>
      </c>
      <c r="E18" s="165">
        <v>418723.19</v>
      </c>
      <c r="F18" s="165">
        <v>117027.39</v>
      </c>
      <c r="G18" s="165">
        <v>0</v>
      </c>
      <c r="H18" s="165">
        <v>783229.31</v>
      </c>
      <c r="I18" s="165">
        <v>0</v>
      </c>
      <c r="J18" s="165">
        <v>29207</v>
      </c>
      <c r="K18" s="165">
        <v>0</v>
      </c>
      <c r="L18" s="165">
        <v>126177.53</v>
      </c>
      <c r="M18" s="165">
        <v>9.59</v>
      </c>
      <c r="N18" s="166">
        <v>1514990</v>
      </c>
      <c r="O18" s="167">
        <v>1514990</v>
      </c>
    </row>
    <row r="19" spans="1:15" x14ac:dyDescent="0.2">
      <c r="A19" s="163" t="s">
        <v>94</v>
      </c>
      <c r="B19" s="164">
        <v>29915.5</v>
      </c>
      <c r="C19" s="165">
        <v>67374</v>
      </c>
      <c r="D19" s="165">
        <v>0</v>
      </c>
      <c r="E19" s="165">
        <v>418723.19</v>
      </c>
      <c r="F19" s="165">
        <v>117027.39</v>
      </c>
      <c r="G19" s="165">
        <v>0</v>
      </c>
      <c r="H19" s="165">
        <v>1316763.3500000001</v>
      </c>
      <c r="I19" s="165">
        <v>89320</v>
      </c>
      <c r="J19" s="165">
        <v>0</v>
      </c>
      <c r="K19" s="165">
        <v>0</v>
      </c>
      <c r="L19" s="165">
        <v>0</v>
      </c>
      <c r="M19" s="165">
        <v>6.57</v>
      </c>
      <c r="N19" s="166">
        <v>2039130</v>
      </c>
      <c r="O19" s="167">
        <v>2039130</v>
      </c>
    </row>
    <row r="20" spans="1:15" x14ac:dyDescent="0.2">
      <c r="A20" s="163" t="s">
        <v>95</v>
      </c>
      <c r="B20" s="164">
        <v>8930</v>
      </c>
      <c r="C20" s="165">
        <v>148936</v>
      </c>
      <c r="D20" s="165">
        <v>0</v>
      </c>
      <c r="E20" s="165">
        <v>493762.11</v>
      </c>
      <c r="F20" s="165">
        <v>131719.79</v>
      </c>
      <c r="G20" s="165">
        <v>0</v>
      </c>
      <c r="H20" s="165">
        <v>1191335.76</v>
      </c>
      <c r="I20" s="165">
        <v>0</v>
      </c>
      <c r="J20" s="165">
        <v>0</v>
      </c>
      <c r="K20" s="165">
        <v>582568</v>
      </c>
      <c r="L20" s="165">
        <v>-23360.560000000001</v>
      </c>
      <c r="M20" s="165">
        <v>8.9</v>
      </c>
      <c r="N20" s="166">
        <v>2533900</v>
      </c>
      <c r="O20" s="167">
        <v>2533900</v>
      </c>
    </row>
    <row r="21" spans="1:15" x14ac:dyDescent="0.2">
      <c r="A21" s="163" t="s">
        <v>198</v>
      </c>
      <c r="B21" s="164">
        <v>10716</v>
      </c>
      <c r="C21" s="165">
        <v>60000</v>
      </c>
      <c r="D21" s="165">
        <v>0</v>
      </c>
      <c r="E21" s="165">
        <v>360067.26</v>
      </c>
      <c r="F21" s="165">
        <v>58044.12</v>
      </c>
      <c r="G21" s="165">
        <v>83975</v>
      </c>
      <c r="H21" s="165">
        <v>945586.52</v>
      </c>
      <c r="I21" s="165">
        <v>0</v>
      </c>
      <c r="J21" s="165">
        <v>0</v>
      </c>
      <c r="K21" s="165">
        <v>0</v>
      </c>
      <c r="L21" s="165">
        <v>122420</v>
      </c>
      <c r="M21" s="165">
        <v>1.1000000000000001</v>
      </c>
      <c r="N21" s="166">
        <v>1640810</v>
      </c>
      <c r="O21" s="167">
        <v>1640810</v>
      </c>
    </row>
    <row r="22" spans="1:15" x14ac:dyDescent="0.2">
      <c r="A22" s="163" t="s">
        <v>53</v>
      </c>
      <c r="B22" s="164">
        <v>6251</v>
      </c>
      <c r="C22" s="165">
        <v>0</v>
      </c>
      <c r="D22" s="165">
        <v>35258</v>
      </c>
      <c r="E22" s="165">
        <v>314686.52</v>
      </c>
      <c r="F22" s="165">
        <v>69201.679999999993</v>
      </c>
      <c r="G22" s="165">
        <v>0</v>
      </c>
      <c r="H22" s="165">
        <v>502618.51</v>
      </c>
      <c r="I22" s="165">
        <v>0</v>
      </c>
      <c r="J22" s="165">
        <v>0</v>
      </c>
      <c r="K22" s="165">
        <v>327644</v>
      </c>
      <c r="L22" s="165">
        <v>0</v>
      </c>
      <c r="M22" s="165">
        <v>0.28999999999999998</v>
      </c>
      <c r="N22" s="166">
        <v>1255660</v>
      </c>
      <c r="O22" s="167">
        <v>1255660</v>
      </c>
    </row>
    <row r="23" spans="1:15" x14ac:dyDescent="0.2">
      <c r="A23" s="163" t="s">
        <v>199</v>
      </c>
      <c r="B23" s="164">
        <v>0</v>
      </c>
      <c r="C23" s="165">
        <v>408510</v>
      </c>
      <c r="D23" s="165">
        <v>0</v>
      </c>
      <c r="E23" s="165">
        <v>311632.89</v>
      </c>
      <c r="F23" s="165">
        <v>45920</v>
      </c>
      <c r="G23" s="165">
        <v>0</v>
      </c>
      <c r="H23" s="165">
        <v>233840.41</v>
      </c>
      <c r="I23" s="165">
        <v>0</v>
      </c>
      <c r="J23" s="165">
        <v>0</v>
      </c>
      <c r="K23" s="165">
        <v>0</v>
      </c>
      <c r="L23" s="165">
        <v>233</v>
      </c>
      <c r="M23" s="165">
        <v>3.7</v>
      </c>
      <c r="N23" s="166">
        <v>1000140</v>
      </c>
      <c r="O23" s="167">
        <v>1000140</v>
      </c>
    </row>
    <row r="24" spans="1:15" x14ac:dyDescent="0.2">
      <c r="A24" s="163" t="s">
        <v>135</v>
      </c>
      <c r="B24" s="164">
        <v>0</v>
      </c>
      <c r="C24" s="165">
        <v>0</v>
      </c>
      <c r="D24" s="165">
        <v>0</v>
      </c>
      <c r="E24" s="165">
        <v>120796.89</v>
      </c>
      <c r="F24" s="165">
        <v>18681.5</v>
      </c>
      <c r="G24" s="165">
        <v>0</v>
      </c>
      <c r="H24" s="165">
        <v>105228.19</v>
      </c>
      <c r="I24" s="165">
        <v>0</v>
      </c>
      <c r="J24" s="165">
        <v>0</v>
      </c>
      <c r="K24" s="165">
        <v>0</v>
      </c>
      <c r="L24" s="165">
        <v>0</v>
      </c>
      <c r="M24" s="165">
        <v>3.42</v>
      </c>
      <c r="N24" s="166">
        <v>244710</v>
      </c>
      <c r="O24" s="167">
        <v>244710</v>
      </c>
    </row>
    <row r="25" spans="1:15" x14ac:dyDescent="0.2">
      <c r="A25" s="163" t="s">
        <v>89</v>
      </c>
      <c r="B25" s="164">
        <v>4465</v>
      </c>
      <c r="C25" s="165">
        <v>0</v>
      </c>
      <c r="D25" s="165">
        <v>35258</v>
      </c>
      <c r="E25" s="165">
        <v>314686.52</v>
      </c>
      <c r="F25" s="165">
        <v>69201.679999999993</v>
      </c>
      <c r="G25" s="165">
        <v>0</v>
      </c>
      <c r="H25" s="165">
        <v>431340.27</v>
      </c>
      <c r="I25" s="165">
        <v>0</v>
      </c>
      <c r="J25" s="165">
        <v>0</v>
      </c>
      <c r="K25" s="165">
        <v>0</v>
      </c>
      <c r="L25" s="165">
        <v>0</v>
      </c>
      <c r="M25" s="165">
        <v>8.5299999999999994</v>
      </c>
      <c r="N25" s="166">
        <v>854960</v>
      </c>
      <c r="O25" s="167">
        <v>854960</v>
      </c>
    </row>
    <row r="26" spans="1:15" x14ac:dyDescent="0.2">
      <c r="A26" s="163" t="s">
        <v>93</v>
      </c>
      <c r="B26" s="164">
        <v>16967</v>
      </c>
      <c r="C26" s="165">
        <v>0</v>
      </c>
      <c r="D26" s="165">
        <v>0</v>
      </c>
      <c r="E26" s="165">
        <v>405763.82</v>
      </c>
      <c r="F26" s="165">
        <v>88790.69</v>
      </c>
      <c r="G26" s="165">
        <v>0</v>
      </c>
      <c r="H26" s="165">
        <v>983000.41</v>
      </c>
      <c r="I26" s="165">
        <v>0</v>
      </c>
      <c r="J26" s="165">
        <v>0</v>
      </c>
      <c r="K26" s="165">
        <v>0</v>
      </c>
      <c r="L26" s="165">
        <v>-42587.59</v>
      </c>
      <c r="M26" s="165">
        <v>5.67</v>
      </c>
      <c r="N26" s="166">
        <v>1451940</v>
      </c>
      <c r="O26" s="167">
        <v>1451940</v>
      </c>
    </row>
    <row r="27" spans="1:15" x14ac:dyDescent="0.2">
      <c r="A27" s="163" t="s">
        <v>90</v>
      </c>
      <c r="B27" s="164">
        <v>7590.5</v>
      </c>
      <c r="C27" s="165">
        <v>60000</v>
      </c>
      <c r="D27" s="165">
        <v>35258</v>
      </c>
      <c r="E27" s="165">
        <v>314686.52</v>
      </c>
      <c r="F27" s="165">
        <v>69201.679999999993</v>
      </c>
      <c r="G27" s="165">
        <v>0</v>
      </c>
      <c r="H27" s="165">
        <v>413562.54</v>
      </c>
      <c r="I27" s="165">
        <v>0</v>
      </c>
      <c r="J27" s="165">
        <v>0</v>
      </c>
      <c r="K27" s="165">
        <v>0</v>
      </c>
      <c r="L27" s="165">
        <v>0</v>
      </c>
      <c r="M27" s="165">
        <v>0.76</v>
      </c>
      <c r="N27" s="166">
        <v>900300</v>
      </c>
      <c r="O27" s="167">
        <v>900300</v>
      </c>
    </row>
    <row r="28" spans="1:15" x14ac:dyDescent="0.2">
      <c r="A28" s="163" t="s">
        <v>136</v>
      </c>
      <c r="B28" s="164">
        <v>8483.5</v>
      </c>
      <c r="C28" s="165">
        <v>60000</v>
      </c>
      <c r="D28" s="165">
        <v>35258</v>
      </c>
      <c r="E28" s="165">
        <v>405763.82</v>
      </c>
      <c r="F28" s="165">
        <v>88790.69</v>
      </c>
      <c r="G28" s="165">
        <v>0</v>
      </c>
      <c r="H28" s="165">
        <v>761814.15</v>
      </c>
      <c r="I28" s="165">
        <v>0</v>
      </c>
      <c r="J28" s="165">
        <v>0</v>
      </c>
      <c r="K28" s="165">
        <v>0</v>
      </c>
      <c r="L28" s="165">
        <v>32945.21</v>
      </c>
      <c r="M28" s="165">
        <v>4.63</v>
      </c>
      <c r="N28" s="166">
        <v>1393060</v>
      </c>
      <c r="O28" s="167">
        <v>1393060</v>
      </c>
    </row>
    <row r="29" spans="1:15" x14ac:dyDescent="0.2">
      <c r="A29" s="172"/>
      <c r="B29" s="168">
        <v>207622.5</v>
      </c>
      <c r="C29" s="169">
        <v>976320</v>
      </c>
      <c r="D29" s="169">
        <v>282064</v>
      </c>
      <c r="E29" s="169">
        <v>7369121.3099999996</v>
      </c>
      <c r="F29" s="169">
        <v>1616773.39</v>
      </c>
      <c r="G29" s="169">
        <v>335900</v>
      </c>
      <c r="H29" s="169">
        <v>15183658.58</v>
      </c>
      <c r="I29" s="169">
        <v>178640</v>
      </c>
      <c r="J29" s="169">
        <v>29207</v>
      </c>
      <c r="K29" s="169">
        <v>1184632</v>
      </c>
      <c r="L29" s="169">
        <v>140890.01</v>
      </c>
      <c r="M29" s="169">
        <v>91.2</v>
      </c>
      <c r="N29" s="170">
        <v>27504920</v>
      </c>
      <c r="O29" s="171">
        <v>27504920</v>
      </c>
    </row>
  </sheetData>
  <customSheetViews>
    <customSheetView guid="{6B129A8F-21F1-407F-BF03-B1785CB23E02}" fitToPage="1" state="hidden" topLeftCell="A4">
      <selection activeCell="A18" sqref="A18"/>
      <pageMargins left="0.7" right="0.7" top="0.75" bottom="0.75" header="0.3" footer="0.3"/>
      <pageSetup paperSize="9" scale="83" orientation="landscape" r:id="rId1"/>
    </customSheetView>
  </customSheetViews>
  <phoneticPr fontId="60" type="noConversion"/>
  <pageMargins left="0.7" right="0.7" top="0.75" bottom="0.75" header="0.3" footer="0.3"/>
  <pageSetup paperSize="9" scale="83"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pageSetUpPr fitToPage="1"/>
  </sheetPr>
  <dimension ref="A1:W50"/>
  <sheetViews>
    <sheetView zoomScale="85" zoomScaleNormal="85" workbookViewId="0">
      <pane xSplit="2" topLeftCell="C1" activePane="topRight" state="frozen"/>
      <selection pane="topRight" activeCell="I25" sqref="I25"/>
    </sheetView>
  </sheetViews>
  <sheetFormatPr defaultColWidth="10.28515625" defaultRowHeight="12.75" x14ac:dyDescent="0.2"/>
  <cols>
    <col min="1" max="1" width="9.140625" style="38" customWidth="1"/>
    <col min="2" max="2" width="26.7109375" style="38" customWidth="1"/>
    <col min="3" max="3" width="6.28515625" style="38" bestFit="1" customWidth="1"/>
    <col min="4" max="13" width="10.28515625" style="38" customWidth="1"/>
    <col min="14" max="19" width="10.28515625" style="44" customWidth="1"/>
    <col min="20" max="21" width="10.28515625" style="198" customWidth="1"/>
    <col min="22" max="22" width="10.28515625" style="38" customWidth="1"/>
    <col min="23" max="16384" width="10.28515625" style="38"/>
  </cols>
  <sheetData>
    <row r="1" spans="1:23" x14ac:dyDescent="0.2">
      <c r="A1" s="68" t="s">
        <v>97</v>
      </c>
      <c r="C1" s="37"/>
    </row>
    <row r="2" spans="1:23" x14ac:dyDescent="0.2">
      <c r="A2" s="82" t="s">
        <v>202</v>
      </c>
      <c r="C2" s="52"/>
      <c r="K2" s="152" t="s">
        <v>207</v>
      </c>
      <c r="L2" s="152"/>
      <c r="M2" s="152"/>
      <c r="N2" s="193"/>
      <c r="O2" s="193"/>
      <c r="P2" s="193"/>
      <c r="Q2" s="193"/>
      <c r="R2" s="193"/>
      <c r="S2" s="193"/>
      <c r="T2" s="199"/>
      <c r="U2" s="199"/>
    </row>
    <row r="3" spans="1:23" x14ac:dyDescent="0.2">
      <c r="B3" s="39"/>
      <c r="C3" s="39"/>
      <c r="K3" s="147"/>
      <c r="L3" s="147"/>
      <c r="M3" s="147"/>
    </row>
    <row r="4" spans="1:23" ht="38.25" x14ac:dyDescent="0.2">
      <c r="A4" s="239" t="s">
        <v>268</v>
      </c>
      <c r="B4" s="40" t="s">
        <v>66</v>
      </c>
      <c r="C4" s="41" t="s">
        <v>52</v>
      </c>
      <c r="D4" s="38" t="s">
        <v>346</v>
      </c>
      <c r="E4" s="38" t="s">
        <v>347</v>
      </c>
      <c r="F4" s="38" t="s">
        <v>348</v>
      </c>
      <c r="G4" s="38" t="s">
        <v>349</v>
      </c>
      <c r="H4" s="38" t="s">
        <v>350</v>
      </c>
      <c r="I4" s="53" t="s">
        <v>226</v>
      </c>
      <c r="J4" s="53" t="s">
        <v>227</v>
      </c>
      <c r="K4" s="53" t="s">
        <v>231</v>
      </c>
      <c r="L4" s="53" t="s">
        <v>228</v>
      </c>
      <c r="M4" s="53" t="s">
        <v>229</v>
      </c>
      <c r="N4" s="196" t="s">
        <v>230</v>
      </c>
      <c r="O4" s="147" t="s">
        <v>226</v>
      </c>
      <c r="P4" s="147" t="s">
        <v>227</v>
      </c>
      <c r="Q4" s="147" t="s">
        <v>232</v>
      </c>
      <c r="R4" s="147" t="s">
        <v>228</v>
      </c>
      <c r="S4" s="147" t="s">
        <v>229</v>
      </c>
      <c r="T4" s="196" t="s">
        <v>233</v>
      </c>
      <c r="U4" s="196" t="s">
        <v>234</v>
      </c>
      <c r="V4" s="53" t="s">
        <v>235</v>
      </c>
      <c r="W4" s="53" t="s">
        <v>149</v>
      </c>
    </row>
    <row r="5" spans="1:23" hidden="1" x14ac:dyDescent="0.2">
      <c r="A5" s="241">
        <v>9257010</v>
      </c>
      <c r="B5" s="42" t="s">
        <v>67</v>
      </c>
      <c r="C5" s="43">
        <v>3</v>
      </c>
      <c r="D5" s="54">
        <f>'Revised Band Returns'!F5</f>
        <v>0.30952380952380953</v>
      </c>
      <c r="E5" s="54">
        <f>'Revised Band Returns'!H5</f>
        <v>0.5</v>
      </c>
      <c r="F5" s="54">
        <f>'Revised Band Returns'!J5</f>
        <v>0</v>
      </c>
      <c r="G5" s="54">
        <f>'Revised Band Returns'!L5</f>
        <v>4.7619047619047616E-2</v>
      </c>
      <c r="H5" s="54">
        <f>'Revised Band Returns'!N5</f>
        <v>0.14285714285714285</v>
      </c>
      <c r="I5" s="191">
        <v>29</v>
      </c>
      <c r="J5" s="191">
        <v>14</v>
      </c>
      <c r="K5" s="192">
        <f>SUM(I5:J5)</f>
        <v>43</v>
      </c>
      <c r="L5" s="84">
        <f>((((I5*D5)*$G$31)+((I5*E5)*$G$33)+((I5*F5)*$G$35)+((I5*G5)*$G$37)+((I5*H5)*$G$39)+((I5*H5)*$G$41)))*(5/12)</f>
        <v>119594.99352164795</v>
      </c>
      <c r="M5" s="84">
        <f>((((J5*D5)*$G$31)+((J5*E5)*$G$33)+((J5*F5)*$G$35)+((J5*G5)*$G$37)+((J5*H5)*$G$39)+((J5*H5)*$G$41)))*(5/12)</f>
        <v>57735.514113899037</v>
      </c>
      <c r="N5" s="197">
        <f>SUM(L5:M5)</f>
        <v>177330.50763554699</v>
      </c>
      <c r="O5" s="195">
        <v>35</v>
      </c>
      <c r="P5" s="195">
        <v>8</v>
      </c>
      <c r="Q5" s="195">
        <f>SUM(O5:P5)</f>
        <v>43</v>
      </c>
      <c r="R5" s="84">
        <f>((((O5*D5)*$G$31)+((O5*E5)*$G$33)+((O5*F5)*$G$35)+((O5*G5)*$G$37)+((O5*H5)*$G$39)+((O5*H5)*$G$41)))*(7/12)</f>
        <v>202074.2993986466</v>
      </c>
      <c r="S5" s="84">
        <f>((((P5*D5)*$G$31)+((P5*E5)*$G$33)+((P5*F5)*$G$35)+((P5*G5)*$G$37)+((P5*H5)*$G$39)+((P5*H5)*$G$41)))*(7/12)</f>
        <v>46188.411291119228</v>
      </c>
      <c r="T5" s="200">
        <f>SUM(R5:S5)</f>
        <v>248262.71068976584</v>
      </c>
      <c r="U5" s="200">
        <f>N5+T5</f>
        <v>425593.21832531283</v>
      </c>
      <c r="V5" s="187">
        <f>((5/12)*K5)+((7/12)*Q5)</f>
        <v>43</v>
      </c>
      <c r="W5" s="148">
        <f>U5/V5</f>
        <v>9897.5167052398338</v>
      </c>
    </row>
    <row r="6" spans="1:23" hidden="1" x14ac:dyDescent="0.2">
      <c r="A6" s="241">
        <v>9257005</v>
      </c>
      <c r="B6" s="42" t="s">
        <v>68</v>
      </c>
      <c r="C6" s="43">
        <v>3</v>
      </c>
      <c r="D6" s="54">
        <f>'Revised Band Returns'!F6</f>
        <v>0.1206896551724138</v>
      </c>
      <c r="E6" s="54">
        <f>'Revised Band Returns'!H6</f>
        <v>0.39655172413793105</v>
      </c>
      <c r="F6" s="54">
        <f>'Revised Band Returns'!J6</f>
        <v>0.27586206896551724</v>
      </c>
      <c r="G6" s="54">
        <f>'Revised Band Returns'!L6</f>
        <v>8.6206896551724144E-2</v>
      </c>
      <c r="H6" s="54">
        <f>'Revised Band Returns'!N6</f>
        <v>0.1206896551724138</v>
      </c>
      <c r="I6" s="191">
        <v>38</v>
      </c>
      <c r="J6" s="191">
        <v>25</v>
      </c>
      <c r="K6" s="192">
        <f t="shared" ref="K6:K25" si="0">SUM(I6:J6)</f>
        <v>63</v>
      </c>
      <c r="L6" s="84">
        <f t="shared" ref="L6:L25" si="1">((((I6*D6)*$G$31)+((I6*E6)*$G$33)+((I6*F6)*$G$35)+((I6*G6)*$G$37)+((I6*H6)*$G$39)+((I6*H6)*$G$41)))*(5/12)</f>
        <v>139100.36057828771</v>
      </c>
      <c r="M6" s="84">
        <f t="shared" ref="M6:M25" si="2">((((J6*D6)*$G$31)+((J6*E6)*$G$33)+((J6*F6)*$G$35)+((J6*G6)*$G$37)+((J6*H6)*$G$39)+((J6*H6)*$G$41)))*(5/12)</f>
        <v>91513.395117294538</v>
      </c>
      <c r="N6" s="197">
        <f t="shared" ref="N6:N25" si="3">SUM(L6:M6)</f>
        <v>230613.75569558225</v>
      </c>
      <c r="O6" s="195">
        <v>38</v>
      </c>
      <c r="P6" s="195">
        <v>25</v>
      </c>
      <c r="Q6" s="195">
        <f t="shared" ref="Q6:Q25" si="4">SUM(O6:P6)</f>
        <v>63</v>
      </c>
      <c r="R6" s="84">
        <f t="shared" ref="R6:R25" si="5">((((O6*D6)*$G$31)+((O6*E6)*$G$33)+((O6*F6)*$G$35)+((O6*G6)*$G$37)+((O6*H6)*$G$39)+((O6*H6)*$G$41)))*(7/12)</f>
        <v>194740.5048096028</v>
      </c>
      <c r="S6" s="84">
        <f t="shared" ref="S6:S25" si="6">((((P6*D6)*$G$31)+((P6*E6)*$G$33)+((P6*F6)*$G$35)+((P6*G6)*$G$37)+((P6*H6)*$G$39)+((P6*H6)*$G$41)))*(7/12)</f>
        <v>128118.75316421235</v>
      </c>
      <c r="T6" s="200">
        <f t="shared" ref="T6:T25" si="7">SUM(R6:S6)</f>
        <v>322859.25797381514</v>
      </c>
      <c r="U6" s="200">
        <f t="shared" ref="U6:U25" si="8">N6+T6</f>
        <v>553473.01366939745</v>
      </c>
      <c r="V6" s="187">
        <f t="shared" ref="V6:V25" si="9">((5/12)*K6)+((7/12)*Q6)</f>
        <v>63</v>
      </c>
      <c r="W6" s="148">
        <f t="shared" ref="W6:W25" si="10">U6/V6</f>
        <v>8785.2859312602777</v>
      </c>
    </row>
    <row r="7" spans="1:23" hidden="1" x14ac:dyDescent="0.2">
      <c r="A7" s="241">
        <v>9257025</v>
      </c>
      <c r="B7" s="42" t="s">
        <v>69</v>
      </c>
      <c r="C7" s="43">
        <v>3</v>
      </c>
      <c r="D7" s="54">
        <f>'Revised Band Returns'!F7</f>
        <v>0.32608695652173914</v>
      </c>
      <c r="E7" s="54">
        <f>'Revised Band Returns'!H7</f>
        <v>0.34782608695652173</v>
      </c>
      <c r="F7" s="54">
        <f>'Revised Band Returns'!J7</f>
        <v>0</v>
      </c>
      <c r="G7" s="54">
        <f>'Revised Band Returns'!L7</f>
        <v>4.3478260869565216E-2</v>
      </c>
      <c r="H7" s="54">
        <f>'Revised Band Returns'!N7</f>
        <v>0.28260869565217389</v>
      </c>
      <c r="I7" s="191">
        <v>41</v>
      </c>
      <c r="J7" s="191">
        <v>12</v>
      </c>
      <c r="K7" s="192">
        <f t="shared" si="0"/>
        <v>53</v>
      </c>
      <c r="L7" s="84">
        <f t="shared" si="1"/>
        <v>186660.86075141121</v>
      </c>
      <c r="M7" s="84">
        <f t="shared" si="2"/>
        <v>54632.447049193535</v>
      </c>
      <c r="N7" s="197">
        <f t="shared" si="3"/>
        <v>241293.30780060473</v>
      </c>
      <c r="O7" s="195">
        <v>39</v>
      </c>
      <c r="P7" s="195">
        <v>14</v>
      </c>
      <c r="Q7" s="195">
        <f t="shared" si="4"/>
        <v>53</v>
      </c>
      <c r="R7" s="84">
        <f t="shared" si="5"/>
        <v>248577.63407383056</v>
      </c>
      <c r="S7" s="84">
        <f t="shared" si="6"/>
        <v>89232.996847016097</v>
      </c>
      <c r="T7" s="200">
        <f t="shared" si="7"/>
        <v>337810.63092084666</v>
      </c>
      <c r="U7" s="200">
        <f t="shared" si="8"/>
        <v>579103.93872145144</v>
      </c>
      <c r="V7" s="187">
        <f t="shared" si="9"/>
        <v>53</v>
      </c>
      <c r="W7" s="148">
        <f t="shared" si="10"/>
        <v>10926.489409838707</v>
      </c>
    </row>
    <row r="8" spans="1:23" hidden="1" x14ac:dyDescent="0.2">
      <c r="A8" s="241">
        <v>9257011</v>
      </c>
      <c r="B8" s="42" t="s">
        <v>70</v>
      </c>
      <c r="C8" s="43">
        <v>3</v>
      </c>
      <c r="D8" s="54">
        <f>'Revised Band Returns'!F8</f>
        <v>0.35</v>
      </c>
      <c r="E8" s="54">
        <f>'Revised Band Returns'!H8</f>
        <v>0.375</v>
      </c>
      <c r="F8" s="54">
        <f>'Revised Band Returns'!J8</f>
        <v>2.5000000000000001E-2</v>
      </c>
      <c r="G8" s="54">
        <f>'Revised Band Returns'!L8</f>
        <v>2.5000000000000001E-2</v>
      </c>
      <c r="H8" s="54">
        <f>'Revised Band Returns'!N8</f>
        <v>0.22500000000000001</v>
      </c>
      <c r="I8" s="191">
        <v>38</v>
      </c>
      <c r="J8" s="191">
        <v>3</v>
      </c>
      <c r="K8" s="192">
        <f t="shared" si="0"/>
        <v>41</v>
      </c>
      <c r="L8" s="84">
        <f t="shared" si="1"/>
        <v>166574.49625527041</v>
      </c>
      <c r="M8" s="84">
        <f t="shared" si="2"/>
        <v>13150.618125416086</v>
      </c>
      <c r="N8" s="197">
        <f t="shared" si="3"/>
        <v>179725.11438068649</v>
      </c>
      <c r="O8" s="195">
        <v>39</v>
      </c>
      <c r="P8" s="195">
        <v>2</v>
      </c>
      <c r="Q8" s="195">
        <f t="shared" si="4"/>
        <v>41</v>
      </c>
      <c r="R8" s="84">
        <f t="shared" si="5"/>
        <v>239341.24988257277</v>
      </c>
      <c r="S8" s="84">
        <f t="shared" si="6"/>
        <v>12273.910250388348</v>
      </c>
      <c r="T8" s="200">
        <f t="shared" si="7"/>
        <v>251615.16013296111</v>
      </c>
      <c r="U8" s="200">
        <f t="shared" si="8"/>
        <v>431340.2745136476</v>
      </c>
      <c r="V8" s="187">
        <f t="shared" si="9"/>
        <v>41</v>
      </c>
      <c r="W8" s="148">
        <f t="shared" si="10"/>
        <v>10520.494500332868</v>
      </c>
    </row>
    <row r="9" spans="1:23" hidden="1" x14ac:dyDescent="0.2">
      <c r="A9" s="241">
        <v>9257024</v>
      </c>
      <c r="B9" s="42" t="s">
        <v>71</v>
      </c>
      <c r="C9" s="43">
        <v>3</v>
      </c>
      <c r="D9" s="54">
        <f>'Revised Band Returns'!F9</f>
        <v>0.15217391304347827</v>
      </c>
      <c r="E9" s="54">
        <f>'Revised Band Returns'!H9</f>
        <v>0.65217391304347827</v>
      </c>
      <c r="F9" s="54">
        <f>'Revised Band Returns'!J9</f>
        <v>2.1739130434782608E-2</v>
      </c>
      <c r="G9" s="54">
        <f>'Revised Band Returns'!L9</f>
        <v>0.15217391304347827</v>
      </c>
      <c r="H9" s="54">
        <f>'Revised Band Returns'!N9</f>
        <v>2.1739130434782608E-2</v>
      </c>
      <c r="I9" s="191">
        <v>38</v>
      </c>
      <c r="J9" s="191">
        <v>9</v>
      </c>
      <c r="K9" s="192">
        <f t="shared" si="0"/>
        <v>47</v>
      </c>
      <c r="L9" s="84">
        <f t="shared" si="1"/>
        <v>139320.71497922856</v>
      </c>
      <c r="M9" s="84">
        <f t="shared" si="2"/>
        <v>32997.011442448857</v>
      </c>
      <c r="N9" s="197">
        <f t="shared" si="3"/>
        <v>172317.72642167742</v>
      </c>
      <c r="O9" s="195">
        <v>36</v>
      </c>
      <c r="P9" s="195">
        <v>11</v>
      </c>
      <c r="Q9" s="195">
        <f t="shared" si="4"/>
        <v>47</v>
      </c>
      <c r="R9" s="84">
        <f t="shared" si="5"/>
        <v>184783.2640777136</v>
      </c>
      <c r="S9" s="84">
        <f t="shared" si="6"/>
        <v>56461.552912634725</v>
      </c>
      <c r="T9" s="200">
        <f t="shared" si="7"/>
        <v>241244.81699034834</v>
      </c>
      <c r="U9" s="200">
        <f t="shared" si="8"/>
        <v>413562.54341202579</v>
      </c>
      <c r="V9" s="187">
        <f t="shared" si="9"/>
        <v>47</v>
      </c>
      <c r="W9" s="148">
        <f t="shared" si="10"/>
        <v>8799.2030513196969</v>
      </c>
    </row>
    <row r="10" spans="1:23" hidden="1" x14ac:dyDescent="0.2">
      <c r="A10" s="241">
        <v>9257031</v>
      </c>
      <c r="B10" s="42" t="s">
        <v>98</v>
      </c>
      <c r="C10" s="43">
        <v>3</v>
      </c>
      <c r="D10" s="54">
        <f>'Revised Band Returns'!F10</f>
        <v>0</v>
      </c>
      <c r="E10" s="54">
        <f>'Revised Band Returns'!H10</f>
        <v>0</v>
      </c>
      <c r="F10" s="54">
        <f>'Revised Band Returns'!J10</f>
        <v>0</v>
      </c>
      <c r="G10" s="54">
        <f>'Revised Band Returns'!L10</f>
        <v>0</v>
      </c>
      <c r="H10" s="54">
        <f>'Revised Band Returns'!N10</f>
        <v>1</v>
      </c>
      <c r="I10" s="191">
        <v>61</v>
      </c>
      <c r="J10" s="191">
        <v>0</v>
      </c>
      <c r="K10" s="192">
        <f t="shared" si="0"/>
        <v>61</v>
      </c>
      <c r="L10" s="84">
        <f t="shared" si="1"/>
        <v>364146.32506795577</v>
      </c>
      <c r="M10" s="84">
        <f t="shared" si="2"/>
        <v>0</v>
      </c>
      <c r="N10" s="197">
        <f t="shared" si="3"/>
        <v>364146.32506795577</v>
      </c>
      <c r="O10" s="195">
        <v>61</v>
      </c>
      <c r="P10" s="195">
        <v>0</v>
      </c>
      <c r="Q10" s="195">
        <f t="shared" si="4"/>
        <v>61</v>
      </c>
      <c r="R10" s="84">
        <f t="shared" si="5"/>
        <v>509804.85509513813</v>
      </c>
      <c r="S10" s="84">
        <f t="shared" si="6"/>
        <v>0</v>
      </c>
      <c r="T10" s="200">
        <f t="shared" si="7"/>
        <v>509804.85509513813</v>
      </c>
      <c r="U10" s="200">
        <f t="shared" si="8"/>
        <v>873951.18016309384</v>
      </c>
      <c r="V10" s="187">
        <f t="shared" si="9"/>
        <v>61</v>
      </c>
      <c r="W10" s="148">
        <f t="shared" si="10"/>
        <v>14327.068527263833</v>
      </c>
    </row>
    <row r="11" spans="1:23" hidden="1" x14ac:dyDescent="0.2">
      <c r="A11" s="241">
        <v>9257033</v>
      </c>
      <c r="B11" s="42" t="s">
        <v>72</v>
      </c>
      <c r="C11" s="43">
        <v>3</v>
      </c>
      <c r="D11" s="54">
        <f>'Revised Band Returns'!F11</f>
        <v>8.6956521739130432E-2</v>
      </c>
      <c r="E11" s="54">
        <f>'Revised Band Returns'!H11</f>
        <v>0.21739130434782608</v>
      </c>
      <c r="F11" s="54">
        <f>'Revised Band Returns'!J11</f>
        <v>0.5</v>
      </c>
      <c r="G11" s="54">
        <f>'Revised Band Returns'!L11</f>
        <v>4.3478260869565216E-2</v>
      </c>
      <c r="H11" s="54">
        <f>'Revised Band Returns'!N11</f>
        <v>0.15217391304347827</v>
      </c>
      <c r="I11" s="191">
        <v>60</v>
      </c>
      <c r="J11" s="191">
        <v>0</v>
      </c>
      <c r="K11" s="192">
        <f t="shared" si="0"/>
        <v>60</v>
      </c>
      <c r="L11" s="84">
        <f t="shared" si="1"/>
        <v>210624.28604617293</v>
      </c>
      <c r="M11" s="84">
        <f t="shared" si="2"/>
        <v>0</v>
      </c>
      <c r="N11" s="197">
        <f t="shared" si="3"/>
        <v>210624.28604617293</v>
      </c>
      <c r="O11" s="195">
        <v>60</v>
      </c>
      <c r="P11" s="195">
        <v>0</v>
      </c>
      <c r="Q11" s="195">
        <f t="shared" si="4"/>
        <v>60</v>
      </c>
      <c r="R11" s="84">
        <f t="shared" si="5"/>
        <v>294874.00046464213</v>
      </c>
      <c r="S11" s="84">
        <f t="shared" si="6"/>
        <v>0</v>
      </c>
      <c r="T11" s="200">
        <f t="shared" si="7"/>
        <v>294874.00046464213</v>
      </c>
      <c r="U11" s="200">
        <f t="shared" si="8"/>
        <v>505498.28651081503</v>
      </c>
      <c r="V11" s="187">
        <f t="shared" si="9"/>
        <v>60</v>
      </c>
      <c r="W11" s="148">
        <f t="shared" si="10"/>
        <v>8424.9714418469175</v>
      </c>
    </row>
    <row r="12" spans="1:23" hidden="1" x14ac:dyDescent="0.2">
      <c r="A12" s="241">
        <v>9257008</v>
      </c>
      <c r="B12" s="42" t="s">
        <v>73</v>
      </c>
      <c r="C12" s="43">
        <v>3</v>
      </c>
      <c r="D12" s="54">
        <f>'Revised Band Returns'!F12</f>
        <v>0</v>
      </c>
      <c r="E12" s="54">
        <f>'Revised Band Returns'!H12</f>
        <v>0.10526315789473684</v>
      </c>
      <c r="F12" s="54">
        <f>'Revised Band Returns'!J12</f>
        <v>0.55263157894736847</v>
      </c>
      <c r="G12" s="54">
        <f>'Revised Band Returns'!L12</f>
        <v>1.3157894736842105E-2</v>
      </c>
      <c r="H12" s="54">
        <f>'Revised Band Returns'!N12</f>
        <v>0.32894736842105265</v>
      </c>
      <c r="I12" s="191">
        <v>84</v>
      </c>
      <c r="J12" s="191">
        <v>0</v>
      </c>
      <c r="K12" s="192">
        <f t="shared" si="0"/>
        <v>84</v>
      </c>
      <c r="L12" s="84">
        <f t="shared" si="1"/>
        <v>318180.53201804025</v>
      </c>
      <c r="M12" s="84">
        <f t="shared" si="2"/>
        <v>0</v>
      </c>
      <c r="N12" s="197">
        <f t="shared" si="3"/>
        <v>318180.53201804025</v>
      </c>
      <c r="O12" s="195">
        <v>84</v>
      </c>
      <c r="P12" s="195">
        <v>0</v>
      </c>
      <c r="Q12" s="195">
        <f t="shared" si="4"/>
        <v>84</v>
      </c>
      <c r="R12" s="84">
        <f t="shared" si="5"/>
        <v>445452.74482525635</v>
      </c>
      <c r="S12" s="84">
        <f t="shared" si="6"/>
        <v>0</v>
      </c>
      <c r="T12" s="200">
        <f t="shared" si="7"/>
        <v>445452.74482525635</v>
      </c>
      <c r="U12" s="200">
        <f t="shared" si="8"/>
        <v>763633.2768432966</v>
      </c>
      <c r="V12" s="187">
        <f t="shared" si="9"/>
        <v>84</v>
      </c>
      <c r="W12" s="148">
        <f t="shared" si="10"/>
        <v>9090.8723433725791</v>
      </c>
    </row>
    <row r="13" spans="1:23" hidden="1" x14ac:dyDescent="0.2">
      <c r="A13" s="241">
        <v>9257034</v>
      </c>
      <c r="B13" s="42" t="s">
        <v>74</v>
      </c>
      <c r="C13" s="43">
        <v>4</v>
      </c>
      <c r="D13" s="54">
        <f>'Revised Band Returns'!F13</f>
        <v>5.3571428571428568E-2</v>
      </c>
      <c r="E13" s="54">
        <f>'Revised Band Returns'!H13</f>
        <v>7.1428571428571425E-2</v>
      </c>
      <c r="F13" s="54">
        <f>'Revised Band Returns'!J13</f>
        <v>0.6696428571428571</v>
      </c>
      <c r="G13" s="54">
        <f>'Revised Band Returns'!L13</f>
        <v>2.6785714285714284E-2</v>
      </c>
      <c r="H13" s="54">
        <f>'Revised Band Returns'!N13</f>
        <v>0.17857142857142858</v>
      </c>
      <c r="I13" s="191">
        <v>82</v>
      </c>
      <c r="J13" s="191">
        <v>27</v>
      </c>
      <c r="K13" s="192">
        <f t="shared" si="0"/>
        <v>109</v>
      </c>
      <c r="L13" s="84">
        <f t="shared" si="1"/>
        <v>280303.95224728779</v>
      </c>
      <c r="M13" s="84">
        <f t="shared" si="2"/>
        <v>92295.203788741113</v>
      </c>
      <c r="N13" s="197">
        <f t="shared" si="3"/>
        <v>372599.15603602887</v>
      </c>
      <c r="O13" s="195">
        <v>78</v>
      </c>
      <c r="P13" s="195">
        <v>31</v>
      </c>
      <c r="Q13" s="195">
        <f t="shared" si="4"/>
        <v>109</v>
      </c>
      <c r="R13" s="84">
        <f t="shared" si="5"/>
        <v>373282.8242122418</v>
      </c>
      <c r="S13" s="84">
        <f t="shared" si="6"/>
        <v>148355.99423819865</v>
      </c>
      <c r="T13" s="200">
        <f t="shared" si="7"/>
        <v>521638.81845044042</v>
      </c>
      <c r="U13" s="200">
        <f t="shared" si="8"/>
        <v>894237.97448646929</v>
      </c>
      <c r="V13" s="187">
        <f t="shared" si="9"/>
        <v>109</v>
      </c>
      <c r="W13" s="148">
        <f t="shared" si="10"/>
        <v>8204.0181145547649</v>
      </c>
    </row>
    <row r="14" spans="1:23" hidden="1" x14ac:dyDescent="0.2">
      <c r="A14" s="241">
        <v>9257002</v>
      </c>
      <c r="B14" s="42" t="s">
        <v>75</v>
      </c>
      <c r="C14" s="43">
        <v>4</v>
      </c>
      <c r="D14" s="54">
        <f>'Revised Band Returns'!F14</f>
        <v>1.6260162601626018E-2</v>
      </c>
      <c r="E14" s="54">
        <f>'Revised Band Returns'!H14</f>
        <v>0.25203252032520324</v>
      </c>
      <c r="F14" s="54">
        <f>'Revised Band Returns'!J14</f>
        <v>0.64227642276422769</v>
      </c>
      <c r="G14" s="54">
        <f>'Revised Band Returns'!L14</f>
        <v>0</v>
      </c>
      <c r="H14" s="54">
        <f>'Revised Band Returns'!N14</f>
        <v>8.943089430894309E-2</v>
      </c>
      <c r="I14" s="191">
        <v>130</v>
      </c>
      <c r="J14" s="191">
        <v>0</v>
      </c>
      <c r="K14" s="192">
        <f t="shared" si="0"/>
        <v>130</v>
      </c>
      <c r="L14" s="84">
        <f t="shared" si="1"/>
        <v>397262.04589398362</v>
      </c>
      <c r="M14" s="84">
        <f t="shared" si="2"/>
        <v>0</v>
      </c>
      <c r="N14" s="197">
        <f t="shared" si="3"/>
        <v>397262.04589398362</v>
      </c>
      <c r="O14" s="195">
        <v>130</v>
      </c>
      <c r="P14" s="195">
        <v>0</v>
      </c>
      <c r="Q14" s="195">
        <f t="shared" si="4"/>
        <v>130</v>
      </c>
      <c r="R14" s="84">
        <f t="shared" si="5"/>
        <v>556166.86425157706</v>
      </c>
      <c r="S14" s="84">
        <f t="shared" si="6"/>
        <v>0</v>
      </c>
      <c r="T14" s="200">
        <f t="shared" si="7"/>
        <v>556166.86425157706</v>
      </c>
      <c r="U14" s="200">
        <f t="shared" si="8"/>
        <v>953428.91014556075</v>
      </c>
      <c r="V14" s="187">
        <f t="shared" si="9"/>
        <v>130</v>
      </c>
      <c r="W14" s="148">
        <f t="shared" si="10"/>
        <v>7334.0685395812361</v>
      </c>
    </row>
    <row r="15" spans="1:23" hidden="1" x14ac:dyDescent="0.2">
      <c r="A15" s="241">
        <v>9257009</v>
      </c>
      <c r="B15" s="42" t="s">
        <v>76</v>
      </c>
      <c r="C15" s="43">
        <v>4</v>
      </c>
      <c r="D15" s="54">
        <f>'Revised Band Returns'!F15</f>
        <v>0</v>
      </c>
      <c r="E15" s="54">
        <f>'Revised Band Returns'!H15</f>
        <v>0.192</v>
      </c>
      <c r="F15" s="54">
        <f>'Revised Band Returns'!J15</f>
        <v>0.66400000000000003</v>
      </c>
      <c r="G15" s="54">
        <f>'Revised Band Returns'!L15</f>
        <v>0</v>
      </c>
      <c r="H15" s="54">
        <f>'Revised Band Returns'!N15</f>
        <v>0.14399999999999999</v>
      </c>
      <c r="I15" s="191">
        <v>131</v>
      </c>
      <c r="J15" s="191">
        <v>0</v>
      </c>
      <c r="K15" s="192">
        <f t="shared" si="0"/>
        <v>131</v>
      </c>
      <c r="L15" s="84">
        <f t="shared" si="1"/>
        <v>415933.63426517654</v>
      </c>
      <c r="M15" s="84">
        <f t="shared" si="2"/>
        <v>0</v>
      </c>
      <c r="N15" s="197">
        <f t="shared" si="3"/>
        <v>415933.63426517654</v>
      </c>
      <c r="O15" s="195">
        <v>131</v>
      </c>
      <c r="P15" s="195">
        <v>0</v>
      </c>
      <c r="Q15" s="195">
        <f t="shared" si="4"/>
        <v>131</v>
      </c>
      <c r="R15" s="84">
        <f t="shared" si="5"/>
        <v>582307.08797124715</v>
      </c>
      <c r="S15" s="84">
        <f t="shared" si="6"/>
        <v>0</v>
      </c>
      <c r="T15" s="200">
        <f t="shared" si="7"/>
        <v>582307.08797124715</v>
      </c>
      <c r="U15" s="200">
        <f t="shared" si="8"/>
        <v>998240.72223642375</v>
      </c>
      <c r="V15" s="187">
        <f t="shared" si="9"/>
        <v>131</v>
      </c>
      <c r="W15" s="148">
        <f t="shared" si="10"/>
        <v>7620.1581850108687</v>
      </c>
    </row>
    <row r="16" spans="1:23" hidden="1" x14ac:dyDescent="0.2">
      <c r="A16" s="241">
        <v>9257029</v>
      </c>
      <c r="B16" s="42" t="s">
        <v>99</v>
      </c>
      <c r="C16" s="43">
        <v>4</v>
      </c>
      <c r="D16" s="54">
        <f>'Revised Band Returns'!F16</f>
        <v>0</v>
      </c>
      <c r="E16" s="54">
        <f>'Revised Band Returns'!H16</f>
        <v>0</v>
      </c>
      <c r="F16" s="54">
        <f>'Revised Band Returns'!J16</f>
        <v>0</v>
      </c>
      <c r="G16" s="54">
        <f>'Revised Band Returns'!L16</f>
        <v>0</v>
      </c>
      <c r="H16" s="54">
        <f>'Revised Band Returns'!N16</f>
        <v>1</v>
      </c>
      <c r="I16" s="191">
        <v>62</v>
      </c>
      <c r="J16" s="191">
        <v>0</v>
      </c>
      <c r="K16" s="192">
        <f t="shared" si="0"/>
        <v>62</v>
      </c>
      <c r="L16" s="84">
        <f t="shared" si="1"/>
        <v>370115.93695431569</v>
      </c>
      <c r="M16" s="84">
        <f t="shared" si="2"/>
        <v>0</v>
      </c>
      <c r="N16" s="197">
        <f t="shared" si="3"/>
        <v>370115.93695431569</v>
      </c>
      <c r="O16" s="195">
        <v>62</v>
      </c>
      <c r="P16" s="195">
        <v>0</v>
      </c>
      <c r="Q16" s="195">
        <f t="shared" si="4"/>
        <v>62</v>
      </c>
      <c r="R16" s="84">
        <f t="shared" si="5"/>
        <v>518162.31173604203</v>
      </c>
      <c r="S16" s="84">
        <f t="shared" si="6"/>
        <v>0</v>
      </c>
      <c r="T16" s="200">
        <f t="shared" si="7"/>
        <v>518162.31173604203</v>
      </c>
      <c r="U16" s="200">
        <f t="shared" si="8"/>
        <v>888278.24869035766</v>
      </c>
      <c r="V16" s="187">
        <f t="shared" si="9"/>
        <v>62.000000000000007</v>
      </c>
      <c r="W16" s="148">
        <f t="shared" si="10"/>
        <v>14327.068527263831</v>
      </c>
    </row>
    <row r="17" spans="1:23" hidden="1" x14ac:dyDescent="0.2">
      <c r="A17" s="241">
        <v>9257032</v>
      </c>
      <c r="B17" s="42" t="s">
        <v>100</v>
      </c>
      <c r="C17" s="43">
        <v>4</v>
      </c>
      <c r="D17" s="54">
        <f>'Revised Band Returns'!F17</f>
        <v>0</v>
      </c>
      <c r="E17" s="54">
        <f>'Revised Band Returns'!H17</f>
        <v>0</v>
      </c>
      <c r="F17" s="54">
        <f>'Revised Band Returns'!J17</f>
        <v>0</v>
      </c>
      <c r="G17" s="54">
        <f>'Revised Band Returns'!L17</f>
        <v>0</v>
      </c>
      <c r="H17" s="54">
        <f>'Revised Band Returns'!N17</f>
        <v>1</v>
      </c>
      <c r="I17" s="191">
        <v>59</v>
      </c>
      <c r="J17" s="191">
        <v>0</v>
      </c>
      <c r="K17" s="192">
        <f t="shared" si="0"/>
        <v>59</v>
      </c>
      <c r="L17" s="84">
        <f t="shared" si="1"/>
        <v>352207.10129523586</v>
      </c>
      <c r="M17" s="84">
        <f t="shared" si="2"/>
        <v>0</v>
      </c>
      <c r="N17" s="197">
        <f t="shared" si="3"/>
        <v>352207.10129523586</v>
      </c>
      <c r="O17" s="195">
        <v>59</v>
      </c>
      <c r="P17" s="195">
        <v>0</v>
      </c>
      <c r="Q17" s="195">
        <f t="shared" si="4"/>
        <v>59</v>
      </c>
      <c r="R17" s="84">
        <f t="shared" si="5"/>
        <v>493089.94181333022</v>
      </c>
      <c r="S17" s="84">
        <f t="shared" si="6"/>
        <v>0</v>
      </c>
      <c r="T17" s="200">
        <f t="shared" si="7"/>
        <v>493089.94181333022</v>
      </c>
      <c r="U17" s="200">
        <f t="shared" si="8"/>
        <v>845297.04310856608</v>
      </c>
      <c r="V17" s="187">
        <f t="shared" si="9"/>
        <v>59.000000000000007</v>
      </c>
      <c r="W17" s="148">
        <f t="shared" si="10"/>
        <v>14327.068527263829</v>
      </c>
    </row>
    <row r="18" spans="1:23" hidden="1" x14ac:dyDescent="0.2">
      <c r="A18" s="241">
        <v>9257030</v>
      </c>
      <c r="B18" s="42" t="s">
        <v>92</v>
      </c>
      <c r="C18" s="43">
        <v>4</v>
      </c>
      <c r="D18" s="54">
        <f>'Revised Band Returns'!F18</f>
        <v>0</v>
      </c>
      <c r="E18" s="54">
        <f>'Revised Band Returns'!H18</f>
        <v>0</v>
      </c>
      <c r="F18" s="54">
        <f>'Revised Band Returns'!J18</f>
        <v>0</v>
      </c>
      <c r="G18" s="54">
        <f>'Revised Band Returns'!L18</f>
        <v>0</v>
      </c>
      <c r="H18" s="54">
        <f>'Revised Band Returns'!N18</f>
        <v>1</v>
      </c>
      <c r="I18" s="191">
        <v>55</v>
      </c>
      <c r="J18" s="191">
        <v>0</v>
      </c>
      <c r="K18" s="192">
        <f t="shared" si="0"/>
        <v>55</v>
      </c>
      <c r="L18" s="84">
        <f t="shared" si="1"/>
        <v>328328.65374979615</v>
      </c>
      <c r="M18" s="84">
        <f t="shared" si="2"/>
        <v>0</v>
      </c>
      <c r="N18" s="197">
        <f t="shared" si="3"/>
        <v>328328.65374979615</v>
      </c>
      <c r="O18" s="195">
        <v>55</v>
      </c>
      <c r="P18" s="195">
        <v>0</v>
      </c>
      <c r="Q18" s="195">
        <f t="shared" si="4"/>
        <v>55</v>
      </c>
      <c r="R18" s="84">
        <f t="shared" si="5"/>
        <v>459660.11524971464</v>
      </c>
      <c r="S18" s="84">
        <f t="shared" si="6"/>
        <v>0</v>
      </c>
      <c r="T18" s="200">
        <f t="shared" si="7"/>
        <v>459660.11524971464</v>
      </c>
      <c r="U18" s="200">
        <f t="shared" si="8"/>
        <v>787988.76899951079</v>
      </c>
      <c r="V18" s="187">
        <f t="shared" si="9"/>
        <v>55</v>
      </c>
      <c r="W18" s="148">
        <f t="shared" si="10"/>
        <v>14327.068527263833</v>
      </c>
    </row>
    <row r="19" spans="1:23" hidden="1" x14ac:dyDescent="0.2">
      <c r="A19" s="241">
        <v>9257028</v>
      </c>
      <c r="B19" s="42" t="s">
        <v>77</v>
      </c>
      <c r="C19" s="43">
        <v>4</v>
      </c>
      <c r="D19" s="54">
        <f>'Revised Band Returns'!F19</f>
        <v>0.25714285714285712</v>
      </c>
      <c r="E19" s="54">
        <f>'Revised Band Returns'!H19</f>
        <v>0.31428571428571428</v>
      </c>
      <c r="F19" s="54">
        <f>'Revised Band Returns'!J19</f>
        <v>5.7142857142857141E-2</v>
      </c>
      <c r="G19" s="54">
        <f>'Revised Band Returns'!L19</f>
        <v>0.15714285714285714</v>
      </c>
      <c r="H19" s="54">
        <f>'Revised Band Returns'!N19</f>
        <v>0.21428571428571427</v>
      </c>
      <c r="I19" s="191">
        <v>59</v>
      </c>
      <c r="J19" s="191">
        <v>14</v>
      </c>
      <c r="K19" s="192">
        <f t="shared" si="0"/>
        <v>73</v>
      </c>
      <c r="L19" s="84">
        <f t="shared" si="1"/>
        <v>260110.15586796915</v>
      </c>
      <c r="M19" s="84">
        <f t="shared" si="2"/>
        <v>61721.053934772346</v>
      </c>
      <c r="N19" s="197">
        <f t="shared" si="3"/>
        <v>321831.20980274148</v>
      </c>
      <c r="O19" s="195">
        <v>56</v>
      </c>
      <c r="P19" s="195">
        <v>17</v>
      </c>
      <c r="Q19" s="195">
        <f t="shared" si="4"/>
        <v>73</v>
      </c>
      <c r="R19" s="84">
        <f t="shared" si="5"/>
        <v>345637.90203472512</v>
      </c>
      <c r="S19" s="84">
        <f t="shared" si="6"/>
        <v>104925.79168911299</v>
      </c>
      <c r="T19" s="200">
        <f t="shared" si="7"/>
        <v>450563.69372383808</v>
      </c>
      <c r="U19" s="200">
        <f t="shared" si="8"/>
        <v>772394.9035265795</v>
      </c>
      <c r="V19" s="187">
        <f t="shared" si="9"/>
        <v>73</v>
      </c>
      <c r="W19" s="148">
        <f t="shared" si="10"/>
        <v>10580.752103103829</v>
      </c>
    </row>
    <row r="20" spans="1:23" hidden="1" x14ac:dyDescent="0.2">
      <c r="A20" s="241">
        <v>9257021</v>
      </c>
      <c r="B20" s="42" t="s">
        <v>78</v>
      </c>
      <c r="C20" s="43">
        <v>5</v>
      </c>
      <c r="D20" s="54">
        <f>'Revised Band Returns'!F20</f>
        <v>1.4598540145985401E-2</v>
      </c>
      <c r="E20" s="54">
        <f>'Revised Band Returns'!H20</f>
        <v>0.10948905109489052</v>
      </c>
      <c r="F20" s="54">
        <f>'Revised Band Returns'!J20</f>
        <v>0.74452554744525545</v>
      </c>
      <c r="G20" s="54">
        <f>'Revised Band Returns'!L20</f>
        <v>2.1897810218978103E-2</v>
      </c>
      <c r="H20" s="54">
        <f>'Revised Band Returns'!N20</f>
        <v>0.10948905109489052</v>
      </c>
      <c r="I20" s="191">
        <v>142</v>
      </c>
      <c r="J20" s="191">
        <v>0</v>
      </c>
      <c r="K20" s="192">
        <f t="shared" si="0"/>
        <v>142</v>
      </c>
      <c r="L20" s="84">
        <f t="shared" si="1"/>
        <v>440717.45291376894</v>
      </c>
      <c r="M20" s="84">
        <f t="shared" si="2"/>
        <v>0</v>
      </c>
      <c r="N20" s="197">
        <f t="shared" si="3"/>
        <v>440717.45291376894</v>
      </c>
      <c r="O20" s="195">
        <v>142</v>
      </c>
      <c r="P20" s="195">
        <v>0</v>
      </c>
      <c r="Q20" s="195">
        <f t="shared" si="4"/>
        <v>142</v>
      </c>
      <c r="R20" s="84">
        <f t="shared" si="5"/>
        <v>617004.43407927651</v>
      </c>
      <c r="S20" s="84">
        <f t="shared" si="6"/>
        <v>0</v>
      </c>
      <c r="T20" s="200">
        <f t="shared" si="7"/>
        <v>617004.43407927651</v>
      </c>
      <c r="U20" s="200">
        <f t="shared" si="8"/>
        <v>1057721.8869930455</v>
      </c>
      <c r="V20" s="187">
        <f t="shared" si="9"/>
        <v>142</v>
      </c>
      <c r="W20" s="148">
        <f t="shared" si="10"/>
        <v>7448.7456830496158</v>
      </c>
    </row>
    <row r="21" spans="1:23" hidden="1" x14ac:dyDescent="0.2">
      <c r="A21" s="241">
        <v>9257015</v>
      </c>
      <c r="B21" s="42" t="s">
        <v>57</v>
      </c>
      <c r="C21" s="43">
        <v>5</v>
      </c>
      <c r="D21" s="54">
        <f>'Revised Band Returns'!F21</f>
        <v>4.9723756906077346E-2</v>
      </c>
      <c r="E21" s="54">
        <f>'Revised Band Returns'!H21</f>
        <v>0.13812154696132597</v>
      </c>
      <c r="F21" s="54">
        <f>'Revised Band Returns'!J21</f>
        <v>0.71823204419889508</v>
      </c>
      <c r="G21" s="54">
        <f>'Revised Band Returns'!L21</f>
        <v>1.1049723756906077E-2</v>
      </c>
      <c r="H21" s="54">
        <f>'Revised Band Returns'!N21</f>
        <v>8.2872928176795577E-2</v>
      </c>
      <c r="I21" s="191">
        <v>211</v>
      </c>
      <c r="J21" s="191">
        <v>0</v>
      </c>
      <c r="K21" s="192">
        <f t="shared" si="0"/>
        <v>211</v>
      </c>
      <c r="L21" s="84">
        <f t="shared" si="1"/>
        <v>650367.66436397668</v>
      </c>
      <c r="M21" s="84">
        <f t="shared" si="2"/>
        <v>0</v>
      </c>
      <c r="N21" s="197">
        <f t="shared" si="3"/>
        <v>650367.66436397668</v>
      </c>
      <c r="O21" s="195">
        <v>228</v>
      </c>
      <c r="P21" s="195">
        <v>17</v>
      </c>
      <c r="Q21" s="195">
        <f t="shared" si="4"/>
        <v>245</v>
      </c>
      <c r="R21" s="84">
        <f t="shared" si="5"/>
        <v>983873.73680085957</v>
      </c>
      <c r="S21" s="84">
        <f t="shared" si="6"/>
        <v>73359.006691292161</v>
      </c>
      <c r="T21" s="200">
        <f t="shared" si="7"/>
        <v>1057232.7434921516</v>
      </c>
      <c r="U21" s="200">
        <f t="shared" si="8"/>
        <v>1707600.4078561282</v>
      </c>
      <c r="V21" s="187">
        <f t="shared" si="9"/>
        <v>230.83333333333337</v>
      </c>
      <c r="W21" s="148">
        <f t="shared" si="10"/>
        <v>7397.5468932395434</v>
      </c>
    </row>
    <row r="22" spans="1:23" hidden="1" x14ac:dyDescent="0.2">
      <c r="A22" s="241">
        <v>9257017</v>
      </c>
      <c r="B22" s="42" t="s">
        <v>79</v>
      </c>
      <c r="C22" s="43">
        <v>5</v>
      </c>
      <c r="D22" s="54">
        <f>'Revised Band Returns'!F22</f>
        <v>0.30864197530864196</v>
      </c>
      <c r="E22" s="54">
        <f>'Revised Band Returns'!H22</f>
        <v>0.5679012345679012</v>
      </c>
      <c r="F22" s="54">
        <f>'Revised Band Returns'!J22</f>
        <v>0</v>
      </c>
      <c r="G22" s="54">
        <f>'Revised Band Returns'!L22</f>
        <v>0</v>
      </c>
      <c r="H22" s="54">
        <f>'Revised Band Returns'!N22</f>
        <v>0.12345679012345678</v>
      </c>
      <c r="I22" s="191">
        <v>25</v>
      </c>
      <c r="J22" s="191">
        <v>12</v>
      </c>
      <c r="K22" s="192">
        <f t="shared" si="0"/>
        <v>37</v>
      </c>
      <c r="L22" s="84">
        <f t="shared" si="1"/>
        <v>99495.592950457911</v>
      </c>
      <c r="M22" s="84">
        <f t="shared" si="2"/>
        <v>47757.884616219795</v>
      </c>
      <c r="N22" s="197">
        <f t="shared" si="3"/>
        <v>147253.4775666777</v>
      </c>
      <c r="O22" s="195">
        <v>0</v>
      </c>
      <c r="P22" s="195">
        <v>0</v>
      </c>
      <c r="Q22" s="195">
        <f t="shared" si="4"/>
        <v>0</v>
      </c>
      <c r="R22" s="84">
        <f t="shared" si="5"/>
        <v>0</v>
      </c>
      <c r="S22" s="84">
        <f t="shared" si="6"/>
        <v>0</v>
      </c>
      <c r="T22" s="200">
        <f t="shared" si="7"/>
        <v>0</v>
      </c>
      <c r="U22" s="200">
        <f t="shared" si="8"/>
        <v>147253.4775666777</v>
      </c>
      <c r="V22" s="187">
        <f t="shared" si="9"/>
        <v>15.416666666666668</v>
      </c>
      <c r="W22" s="148">
        <f t="shared" si="10"/>
        <v>9551.5769232439579</v>
      </c>
    </row>
    <row r="23" spans="1:23" hidden="1" x14ac:dyDescent="0.2">
      <c r="A23" s="241">
        <v>9257016</v>
      </c>
      <c r="B23" s="42" t="s">
        <v>80</v>
      </c>
      <c r="C23" s="43">
        <v>6</v>
      </c>
      <c r="D23" s="54">
        <f>'Revised Band Returns'!F23</f>
        <v>0.42307692307692307</v>
      </c>
      <c r="E23" s="54">
        <f>'Revised Band Returns'!H23</f>
        <v>0</v>
      </c>
      <c r="F23" s="54">
        <f>'Revised Band Returns'!J23</f>
        <v>0.125</v>
      </c>
      <c r="G23" s="54">
        <f>'Revised Band Returns'!L23</f>
        <v>0.36538461538461536</v>
      </c>
      <c r="H23" s="54">
        <f>'Revised Band Returns'!N23</f>
        <v>8.6538461538461536E-2</v>
      </c>
      <c r="I23" s="191">
        <v>83</v>
      </c>
      <c r="J23" s="191">
        <v>46</v>
      </c>
      <c r="K23" s="192">
        <f>SUM(I23:J23)</f>
        <v>129</v>
      </c>
      <c r="L23" s="84">
        <f t="shared" si="1"/>
        <v>388682.65777476312</v>
      </c>
      <c r="M23" s="84">
        <f t="shared" si="2"/>
        <v>215414.48503179642</v>
      </c>
      <c r="N23" s="197">
        <f t="shared" si="3"/>
        <v>604097.14280655957</v>
      </c>
      <c r="O23" s="195">
        <v>79</v>
      </c>
      <c r="P23" s="195">
        <v>50</v>
      </c>
      <c r="Q23" s="195">
        <f t="shared" si="4"/>
        <v>129</v>
      </c>
      <c r="R23" s="84">
        <f t="shared" si="5"/>
        <v>517931.34879384103</v>
      </c>
      <c r="S23" s="84">
        <f t="shared" si="6"/>
        <v>327804.65113534243</v>
      </c>
      <c r="T23" s="200">
        <f t="shared" si="7"/>
        <v>845735.9999291834</v>
      </c>
      <c r="U23" s="200">
        <f t="shared" si="8"/>
        <v>1449833.142735743</v>
      </c>
      <c r="V23" s="187">
        <f t="shared" si="9"/>
        <v>129</v>
      </c>
      <c r="W23" s="148">
        <f t="shared" si="10"/>
        <v>11239.016610354596</v>
      </c>
    </row>
    <row r="24" spans="1:23" x14ac:dyDescent="0.2">
      <c r="A24" s="135">
        <v>9257012</v>
      </c>
      <c r="B24" s="135" t="s">
        <v>137</v>
      </c>
      <c r="C24" s="134"/>
      <c r="D24" s="54">
        <v>0</v>
      </c>
      <c r="E24" s="54">
        <v>0</v>
      </c>
      <c r="F24" s="54">
        <v>0</v>
      </c>
      <c r="G24" s="54">
        <v>1</v>
      </c>
      <c r="H24" s="98">
        <v>0</v>
      </c>
      <c r="I24" s="192">
        <v>20</v>
      </c>
      <c r="J24" s="192">
        <v>0</v>
      </c>
      <c r="K24" s="192">
        <f>SUM(I24:J24)</f>
        <v>20</v>
      </c>
      <c r="L24" s="84">
        <f t="shared" si="1"/>
        <v>97433.505317473231</v>
      </c>
      <c r="M24" s="84">
        <f t="shared" si="2"/>
        <v>0</v>
      </c>
      <c r="N24" s="197">
        <f t="shared" si="3"/>
        <v>97433.505317473231</v>
      </c>
      <c r="O24" s="98">
        <v>20</v>
      </c>
      <c r="P24" s="98">
        <v>0</v>
      </c>
      <c r="Q24" s="98">
        <f t="shared" si="4"/>
        <v>20</v>
      </c>
      <c r="R24" s="84">
        <f t="shared" si="5"/>
        <v>136406.90744446253</v>
      </c>
      <c r="S24" s="84">
        <f t="shared" si="6"/>
        <v>0</v>
      </c>
      <c r="T24" s="200">
        <f t="shared" si="7"/>
        <v>136406.90744446253</v>
      </c>
      <c r="U24" s="200">
        <f t="shared" si="8"/>
        <v>233840.41276193576</v>
      </c>
      <c r="V24" s="187">
        <f t="shared" si="9"/>
        <v>20</v>
      </c>
      <c r="W24" s="148">
        <f t="shared" si="10"/>
        <v>11692.020638096788</v>
      </c>
    </row>
    <row r="25" spans="1:23" x14ac:dyDescent="0.2">
      <c r="A25" s="135">
        <v>9257003</v>
      </c>
      <c r="B25" s="135" t="s">
        <v>138</v>
      </c>
      <c r="C25" s="134"/>
      <c r="D25" s="54">
        <v>0</v>
      </c>
      <c r="E25" s="54">
        <v>0</v>
      </c>
      <c r="F25" s="54">
        <v>0</v>
      </c>
      <c r="G25" s="54">
        <v>1</v>
      </c>
      <c r="H25" s="98">
        <v>0</v>
      </c>
      <c r="I25" s="192">
        <v>9</v>
      </c>
      <c r="J25" s="192">
        <v>0</v>
      </c>
      <c r="K25" s="192">
        <f t="shared" si="0"/>
        <v>9</v>
      </c>
      <c r="L25" s="84">
        <f t="shared" si="1"/>
        <v>43845.07739286295</v>
      </c>
      <c r="M25" s="84">
        <f t="shared" si="2"/>
        <v>0</v>
      </c>
      <c r="N25" s="197">
        <f t="shared" si="3"/>
        <v>43845.07739286295</v>
      </c>
      <c r="O25" s="98">
        <v>9</v>
      </c>
      <c r="P25" s="98">
        <v>0</v>
      </c>
      <c r="Q25" s="98">
        <f t="shared" si="4"/>
        <v>9</v>
      </c>
      <c r="R25" s="84">
        <f t="shared" si="5"/>
        <v>61383.108350008137</v>
      </c>
      <c r="S25" s="84">
        <f t="shared" si="6"/>
        <v>0</v>
      </c>
      <c r="T25" s="200">
        <f t="shared" si="7"/>
        <v>61383.108350008137</v>
      </c>
      <c r="U25" s="200">
        <f t="shared" si="8"/>
        <v>105228.18574287108</v>
      </c>
      <c r="V25" s="187">
        <f t="shared" si="9"/>
        <v>9</v>
      </c>
      <c r="W25" s="148">
        <f t="shared" si="10"/>
        <v>11692.020638096787</v>
      </c>
    </row>
    <row r="26" spans="1:23" x14ac:dyDescent="0.2">
      <c r="B26" s="55"/>
      <c r="C26" s="55"/>
      <c r="S26" s="84"/>
    </row>
    <row r="27" spans="1:23" x14ac:dyDescent="0.2">
      <c r="B27" s="55"/>
      <c r="C27" s="55"/>
      <c r="V27" s="67"/>
    </row>
    <row r="28" spans="1:23" x14ac:dyDescent="0.2">
      <c r="K28" s="57"/>
      <c r="L28" s="57"/>
      <c r="M28" s="57"/>
      <c r="N28" s="55"/>
      <c r="O28" s="55"/>
      <c r="P28" s="55"/>
      <c r="Q28" s="55"/>
      <c r="R28" s="55"/>
      <c r="S28" s="55"/>
      <c r="T28" s="201"/>
      <c r="U28" s="201"/>
    </row>
    <row r="29" spans="1:23" x14ac:dyDescent="0.2">
      <c r="B29" s="44"/>
      <c r="C29" s="44"/>
      <c r="J29" s="57"/>
      <c r="K29" s="279"/>
      <c r="L29" s="279"/>
      <c r="M29" s="279"/>
      <c r="N29" s="280"/>
      <c r="O29" s="81"/>
      <c r="P29" s="194"/>
      <c r="Q29" s="194"/>
      <c r="R29" s="194"/>
      <c r="S29" s="194"/>
      <c r="T29" s="202"/>
      <c r="U29" s="202"/>
    </row>
    <row r="30" spans="1:23" x14ac:dyDescent="0.2">
      <c r="J30" s="57"/>
      <c r="K30" s="280"/>
      <c r="L30" s="280"/>
      <c r="M30" s="280"/>
      <c r="N30" s="280"/>
      <c r="O30" s="81"/>
      <c r="P30" s="194"/>
      <c r="Q30" s="194"/>
      <c r="R30" s="194"/>
      <c r="S30" s="194"/>
      <c r="T30" s="202"/>
      <c r="U30" s="202"/>
    </row>
    <row r="31" spans="1:23" x14ac:dyDescent="0.2">
      <c r="C31" s="56"/>
      <c r="D31" s="57"/>
      <c r="E31" s="38" t="s">
        <v>2</v>
      </c>
      <c r="G31" s="46">
        <f>'Funding Model'!D7</f>
        <v>11692.020638096787</v>
      </c>
      <c r="H31" s="58">
        <f>'Funding Model'!E7</f>
        <v>0</v>
      </c>
      <c r="I31" s="58"/>
      <c r="J31" s="281"/>
      <c r="K31" s="280"/>
      <c r="L31" s="280"/>
      <c r="M31" s="280"/>
      <c r="N31" s="280"/>
      <c r="O31" s="81"/>
      <c r="P31" s="194"/>
      <c r="Q31" s="194"/>
      <c r="R31" s="194"/>
      <c r="S31" s="194"/>
      <c r="T31" s="202"/>
      <c r="U31" s="202"/>
    </row>
    <row r="32" spans="1:23" x14ac:dyDescent="0.2">
      <c r="C32" s="59"/>
      <c r="D32" s="57"/>
      <c r="G32" s="46"/>
      <c r="H32" s="58"/>
      <c r="I32" s="58"/>
      <c r="J32" s="281"/>
      <c r="K32" s="280"/>
      <c r="L32" s="280"/>
      <c r="M32" s="280"/>
      <c r="N32" s="280"/>
      <c r="O32" s="81"/>
      <c r="P32" s="194"/>
      <c r="Q32" s="194"/>
      <c r="R32" s="194"/>
      <c r="S32" s="194"/>
      <c r="T32" s="202"/>
      <c r="U32" s="202"/>
    </row>
    <row r="33" spans="2:21" x14ac:dyDescent="0.2">
      <c r="C33" s="56"/>
      <c r="D33" s="57"/>
      <c r="E33" s="38" t="s">
        <v>3</v>
      </c>
      <c r="G33" s="46">
        <f>'Funding Model'!D9</f>
        <v>7350.1419469065795</v>
      </c>
      <c r="H33" s="58">
        <f>'Funding Model'!E9</f>
        <v>0</v>
      </c>
      <c r="I33" s="58"/>
      <c r="J33" s="281"/>
      <c r="K33" s="279"/>
      <c r="L33" s="279"/>
      <c r="M33" s="279"/>
      <c r="N33" s="280"/>
      <c r="O33" s="81"/>
      <c r="P33" s="194"/>
      <c r="Q33" s="194"/>
      <c r="R33" s="194"/>
      <c r="S33" s="194"/>
      <c r="T33" s="202"/>
      <c r="U33" s="202"/>
    </row>
    <row r="34" spans="2:21" x14ac:dyDescent="0.2">
      <c r="C34" s="59"/>
      <c r="D34" s="57"/>
      <c r="G34" s="46"/>
      <c r="H34" s="58"/>
      <c r="I34" s="58"/>
      <c r="J34" s="281"/>
      <c r="K34" s="279"/>
      <c r="L34" s="279"/>
      <c r="M34" s="279"/>
      <c r="N34" s="280"/>
      <c r="O34" s="81"/>
      <c r="P34" s="194"/>
      <c r="Q34" s="194"/>
      <c r="R34" s="194"/>
      <c r="S34" s="194"/>
      <c r="T34" s="202"/>
      <c r="U34" s="202"/>
    </row>
    <row r="35" spans="2:21" x14ac:dyDescent="0.2">
      <c r="C35" s="56"/>
      <c r="D35" s="57"/>
      <c r="E35" s="38" t="s">
        <v>5</v>
      </c>
      <c r="G35" s="46">
        <f>'Funding Model'!D11</f>
        <v>6243.7244928897762</v>
      </c>
      <c r="H35" s="58">
        <f>'Funding Model'!E11</f>
        <v>0</v>
      </c>
      <c r="I35" s="58"/>
      <c r="J35" s="281"/>
      <c r="K35" s="279"/>
      <c r="L35" s="279"/>
      <c r="M35" s="279"/>
      <c r="N35" s="280"/>
      <c r="O35" s="81"/>
      <c r="P35" s="194"/>
      <c r="Q35" s="194"/>
      <c r="R35" s="194"/>
      <c r="S35" s="194"/>
      <c r="T35" s="202"/>
      <c r="U35" s="202"/>
    </row>
    <row r="36" spans="2:21" x14ac:dyDescent="0.2">
      <c r="C36" s="59"/>
      <c r="D36" s="57"/>
      <c r="G36" s="46"/>
      <c r="H36" s="58"/>
      <c r="I36" s="58"/>
      <c r="J36" s="281"/>
      <c r="K36" s="280"/>
      <c r="L36" s="25"/>
      <c r="M36" s="282"/>
      <c r="N36" s="280"/>
      <c r="O36" s="81"/>
      <c r="P36" s="194"/>
      <c r="Q36" s="194"/>
      <c r="R36" s="194"/>
      <c r="S36" s="194"/>
      <c r="T36" s="202"/>
      <c r="U36" s="202"/>
    </row>
    <row r="37" spans="2:21" x14ac:dyDescent="0.2">
      <c r="C37" s="56"/>
      <c r="D37" s="57"/>
      <c r="E37" s="38" t="s">
        <v>7</v>
      </c>
      <c r="G37" s="46">
        <f>'Funding Model'!D13</f>
        <v>11692.020638096787</v>
      </c>
      <c r="H37" s="58">
        <f>'Funding Model'!E13</f>
        <v>0</v>
      </c>
      <c r="I37" s="58"/>
      <c r="J37" s="281"/>
      <c r="K37" s="279"/>
      <c r="L37" s="279"/>
      <c r="M37" s="279"/>
      <c r="N37" s="280"/>
      <c r="O37" s="81"/>
      <c r="P37" s="194"/>
      <c r="Q37" s="194"/>
      <c r="R37" s="194"/>
      <c r="S37" s="194"/>
      <c r="T37" s="202"/>
      <c r="U37" s="202"/>
    </row>
    <row r="38" spans="2:21" x14ac:dyDescent="0.2">
      <c r="C38" s="59"/>
      <c r="D38" s="57"/>
      <c r="G38" s="46"/>
      <c r="H38" s="58"/>
      <c r="I38" s="58"/>
      <c r="J38" s="281"/>
      <c r="K38" s="280"/>
      <c r="L38" s="25"/>
      <c r="M38" s="282"/>
      <c r="N38" s="280"/>
      <c r="O38" s="81"/>
      <c r="P38" s="194"/>
      <c r="Q38" s="194"/>
      <c r="R38" s="194"/>
      <c r="S38" s="194"/>
      <c r="T38" s="202"/>
      <c r="U38" s="202"/>
    </row>
    <row r="39" spans="2:21" x14ac:dyDescent="0.2">
      <c r="C39" s="56"/>
      <c r="D39" s="57"/>
      <c r="E39" s="38" t="s">
        <v>8</v>
      </c>
      <c r="G39" s="46">
        <f>'Funding Model'!D15</f>
        <v>11692.020638096787</v>
      </c>
      <c r="H39" s="58">
        <f>'Funding Model'!E15</f>
        <v>0</v>
      </c>
      <c r="I39" s="58"/>
      <c r="J39" s="281"/>
      <c r="K39" s="279"/>
      <c r="L39" s="279"/>
      <c r="M39" s="279"/>
      <c r="N39" s="280"/>
      <c r="O39" s="81"/>
      <c r="P39" s="194"/>
      <c r="Q39" s="194"/>
      <c r="R39" s="194"/>
      <c r="S39" s="194"/>
      <c r="T39" s="202"/>
      <c r="U39" s="202"/>
    </row>
    <row r="40" spans="2:21" ht="14.25" x14ac:dyDescent="0.2">
      <c r="B40" s="60"/>
      <c r="C40" s="61"/>
      <c r="D40" s="62"/>
      <c r="E40" s="63"/>
      <c r="H40" s="71"/>
      <c r="I40" s="71"/>
      <c r="J40" s="283"/>
      <c r="K40" s="279"/>
      <c r="L40" s="279"/>
      <c r="M40" s="279"/>
      <c r="N40" s="280"/>
      <c r="O40" s="81"/>
      <c r="P40" s="194"/>
      <c r="Q40" s="194"/>
      <c r="R40" s="194"/>
      <c r="S40" s="194"/>
      <c r="T40" s="202"/>
      <c r="U40" s="202"/>
    </row>
    <row r="41" spans="2:21" ht="14.25" x14ac:dyDescent="0.2">
      <c r="B41" s="64"/>
      <c r="C41" s="65"/>
      <c r="E41" s="38" t="s">
        <v>109</v>
      </c>
      <c r="G41" s="46">
        <f>'Funding Model'!D17</f>
        <v>2635.0478891670464</v>
      </c>
      <c r="H41" s="58">
        <f>'Funding Model'!E17</f>
        <v>0</v>
      </c>
      <c r="I41" s="58"/>
      <c r="J41" s="281"/>
      <c r="K41" s="279"/>
      <c r="L41" s="279"/>
      <c r="M41" s="279"/>
      <c r="N41" s="280"/>
      <c r="O41" s="81"/>
      <c r="P41" s="194"/>
      <c r="Q41" s="194"/>
      <c r="R41" s="194"/>
      <c r="S41" s="194"/>
      <c r="T41" s="202"/>
      <c r="U41" s="202"/>
    </row>
    <row r="42" spans="2:21" x14ac:dyDescent="0.2">
      <c r="J42" s="57"/>
      <c r="K42" s="280"/>
      <c r="L42" s="280"/>
      <c r="M42" s="280"/>
      <c r="N42" s="280"/>
      <c r="O42" s="81"/>
      <c r="P42" s="194"/>
      <c r="Q42" s="194"/>
      <c r="R42" s="194"/>
      <c r="S42" s="194"/>
      <c r="T42" s="202"/>
      <c r="U42" s="202"/>
    </row>
    <row r="43" spans="2:21" x14ac:dyDescent="0.2">
      <c r="J43" s="57"/>
      <c r="K43" s="279"/>
      <c r="L43" s="279"/>
      <c r="M43" s="279"/>
      <c r="N43" s="280"/>
      <c r="O43" s="81"/>
      <c r="P43" s="194"/>
      <c r="Q43" s="194"/>
      <c r="R43" s="194"/>
      <c r="S43" s="194"/>
      <c r="T43" s="202"/>
      <c r="U43" s="202"/>
    </row>
    <row r="44" spans="2:21" x14ac:dyDescent="0.2">
      <c r="J44" s="57"/>
      <c r="K44" s="279"/>
      <c r="L44" s="279"/>
      <c r="M44" s="279"/>
      <c r="N44" s="280"/>
      <c r="O44" s="81"/>
      <c r="P44" s="194"/>
      <c r="Q44" s="194"/>
      <c r="R44" s="194"/>
      <c r="S44" s="194"/>
      <c r="T44" s="202"/>
      <c r="U44" s="202"/>
    </row>
    <row r="45" spans="2:21" x14ac:dyDescent="0.2">
      <c r="J45" s="57"/>
      <c r="K45" s="279"/>
      <c r="L45" s="279"/>
      <c r="M45" s="279"/>
      <c r="N45" s="280"/>
      <c r="O45" s="81"/>
      <c r="P45" s="194"/>
      <c r="Q45" s="194"/>
      <c r="R45" s="194"/>
      <c r="S45" s="194"/>
      <c r="T45" s="202"/>
      <c r="U45" s="202"/>
    </row>
    <row r="46" spans="2:21" x14ac:dyDescent="0.2">
      <c r="J46" s="57"/>
      <c r="K46" s="279"/>
      <c r="L46" s="279"/>
      <c r="M46" s="279"/>
      <c r="N46" s="280"/>
      <c r="O46" s="81"/>
      <c r="P46" s="194"/>
      <c r="Q46" s="194"/>
      <c r="R46" s="194"/>
      <c r="S46" s="194"/>
      <c r="T46" s="202"/>
      <c r="U46" s="202"/>
    </row>
    <row r="47" spans="2:21" x14ac:dyDescent="0.2">
      <c r="J47" s="57"/>
      <c r="K47" s="279"/>
      <c r="L47" s="279"/>
      <c r="M47" s="279"/>
      <c r="N47" s="280"/>
      <c r="O47" s="81"/>
      <c r="P47" s="194"/>
      <c r="Q47" s="194"/>
      <c r="R47" s="194"/>
      <c r="S47" s="194"/>
      <c r="T47" s="202"/>
      <c r="U47" s="202"/>
    </row>
    <row r="48" spans="2:21" x14ac:dyDescent="0.2">
      <c r="J48" s="57"/>
      <c r="K48" s="279"/>
      <c r="L48" s="279"/>
      <c r="M48" s="279"/>
      <c r="N48" s="280"/>
      <c r="O48" s="81"/>
      <c r="P48" s="194"/>
      <c r="Q48" s="194"/>
      <c r="R48" s="194"/>
      <c r="S48" s="194"/>
      <c r="T48" s="202"/>
      <c r="U48" s="202"/>
    </row>
    <row r="49" spans="10:21" x14ac:dyDescent="0.2">
      <c r="J49" s="57"/>
      <c r="K49" s="279"/>
      <c r="L49" s="279"/>
      <c r="M49" s="279"/>
      <c r="N49" s="280"/>
      <c r="O49" s="81"/>
      <c r="P49" s="194"/>
      <c r="Q49" s="194"/>
      <c r="R49" s="194"/>
      <c r="S49" s="194"/>
      <c r="T49" s="202"/>
      <c r="U49" s="202"/>
    </row>
    <row r="50" spans="10:21" x14ac:dyDescent="0.2">
      <c r="J50" s="57"/>
      <c r="K50" s="57"/>
      <c r="L50" s="57"/>
      <c r="M50" s="57"/>
      <c r="N50" s="55"/>
      <c r="O50" s="55"/>
      <c r="P50" s="55"/>
      <c r="Q50" s="55"/>
      <c r="R50" s="55"/>
      <c r="S50" s="55"/>
      <c r="T50" s="201"/>
      <c r="U50" s="201"/>
    </row>
  </sheetData>
  <customSheetViews>
    <customSheetView guid="{6B129A8F-21F1-407F-BF03-B1785CB23E02}" scale="85" fitToPage="1" hiddenRows="1" state="hidden">
      <pane xSplit="2" topLeftCell="I1" activePane="topRight" state="frozen"/>
      <selection pane="topRight" activeCell="M25" sqref="M25"/>
      <pageMargins left="0.39370078740157483" right="0.39370078740157483" top="0.98425196850393704" bottom="0.98425196850393704" header="0.51181102362204722" footer="0.51181102362204722"/>
      <pageSetup paperSize="9" scale="57" orientation="landscape" r:id="rId1"/>
      <headerFooter alignWithMargins="0">
        <oddFooter>&amp;F</oddFooter>
      </headerFooter>
    </customSheetView>
  </customSheetViews>
  <phoneticPr fontId="19" type="noConversion"/>
  <pageMargins left="0.39370078740157483" right="0.39370078740157483" top="0.98425196850393704" bottom="0.98425196850393704" header="0.51181102362204722" footer="0.51181102362204722"/>
  <pageSetup paperSize="9" scale="57" orientation="landscape" r:id="rId2"/>
  <headerFooter alignWithMargins="0">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50"/>
  <sheetViews>
    <sheetView zoomScale="85" zoomScaleNormal="85" workbookViewId="0">
      <pane xSplit="2" topLeftCell="C1" activePane="topRight" state="frozen"/>
      <selection pane="topRight" sqref="A1:XFD1048576"/>
    </sheetView>
  </sheetViews>
  <sheetFormatPr defaultColWidth="10.28515625" defaultRowHeight="12.75" x14ac:dyDescent="0.2"/>
  <cols>
    <col min="1" max="1" width="9.140625" style="38" customWidth="1"/>
    <col min="2" max="2" width="26.7109375" style="38" customWidth="1"/>
    <col min="3" max="3" width="6.28515625" style="38" bestFit="1" customWidth="1"/>
    <col min="4" max="13" width="10.28515625" style="38" customWidth="1"/>
    <col min="14" max="19" width="10.28515625" style="44" customWidth="1"/>
    <col min="20" max="21" width="10.28515625" style="198" customWidth="1"/>
    <col min="22" max="22" width="10.28515625" style="38" customWidth="1"/>
    <col min="23" max="16384" width="10.28515625" style="38"/>
  </cols>
  <sheetData>
    <row r="1" spans="1:23" x14ac:dyDescent="0.2">
      <c r="A1" s="68" t="s">
        <v>97</v>
      </c>
      <c r="C1" s="37"/>
    </row>
    <row r="2" spans="1:23" x14ac:dyDescent="0.2">
      <c r="A2" s="82" t="s">
        <v>202</v>
      </c>
      <c r="C2" s="52"/>
      <c r="K2" s="152" t="s">
        <v>207</v>
      </c>
      <c r="L2" s="152"/>
      <c r="M2" s="152"/>
      <c r="N2" s="193"/>
      <c r="O2" s="193"/>
      <c r="P2" s="193"/>
      <c r="Q2" s="193"/>
      <c r="R2" s="193"/>
      <c r="S2" s="193"/>
      <c r="T2" s="199"/>
      <c r="U2" s="199"/>
    </row>
    <row r="3" spans="1:23" x14ac:dyDescent="0.2">
      <c r="B3" s="39"/>
      <c r="C3" s="39"/>
      <c r="K3" s="147"/>
      <c r="L3" s="147"/>
      <c r="M3" s="147"/>
    </row>
    <row r="4" spans="1:23" ht="38.25" x14ac:dyDescent="0.2">
      <c r="A4" s="239" t="s">
        <v>268</v>
      </c>
      <c r="B4" s="40" t="s">
        <v>66</v>
      </c>
      <c r="C4" s="41" t="s">
        <v>52</v>
      </c>
      <c r="D4" s="38" t="s">
        <v>346</v>
      </c>
      <c r="E4" s="38" t="s">
        <v>347</v>
      </c>
      <c r="F4" s="38" t="s">
        <v>348</v>
      </c>
      <c r="G4" s="38" t="s">
        <v>349</v>
      </c>
      <c r="H4" s="38" t="s">
        <v>350</v>
      </c>
      <c r="I4" s="53" t="s">
        <v>226</v>
      </c>
      <c r="J4" s="53" t="s">
        <v>227</v>
      </c>
      <c r="K4" s="53" t="s">
        <v>231</v>
      </c>
      <c r="L4" s="53" t="s">
        <v>228</v>
      </c>
      <c r="M4" s="53" t="s">
        <v>229</v>
      </c>
      <c r="N4" s="196" t="s">
        <v>230</v>
      </c>
      <c r="O4" s="147" t="s">
        <v>226</v>
      </c>
      <c r="P4" s="147" t="s">
        <v>227</v>
      </c>
      <c r="Q4" s="147" t="s">
        <v>232</v>
      </c>
      <c r="R4" s="147" t="s">
        <v>228</v>
      </c>
      <c r="S4" s="147" t="s">
        <v>229</v>
      </c>
      <c r="T4" s="196" t="s">
        <v>233</v>
      </c>
      <c r="U4" s="196" t="s">
        <v>234</v>
      </c>
      <c r="V4" s="53" t="s">
        <v>235</v>
      </c>
      <c r="W4" s="53" t="s">
        <v>149</v>
      </c>
    </row>
    <row r="5" spans="1:23" hidden="1" x14ac:dyDescent="0.2">
      <c r="A5" s="241">
        <v>9257010</v>
      </c>
      <c r="B5" s="42" t="s">
        <v>67</v>
      </c>
      <c r="C5" s="43">
        <v>3</v>
      </c>
      <c r="D5" s="54">
        <f>'Revised Band Returns'!F5</f>
        <v>0.30952380952380953</v>
      </c>
      <c r="E5" s="54">
        <f>'Revised Band Returns'!H5</f>
        <v>0.5</v>
      </c>
      <c r="F5" s="54">
        <f>'Revised Band Returns'!J5</f>
        <v>0</v>
      </c>
      <c r="G5" s="54">
        <f>'Revised Band Returns'!L5</f>
        <v>4.7619047619047616E-2</v>
      </c>
      <c r="H5" s="54">
        <f>'Revised Band Returns'!N5</f>
        <v>0.14285714285714285</v>
      </c>
      <c r="I5" s="191">
        <v>29</v>
      </c>
      <c r="J5" s="191">
        <v>14</v>
      </c>
      <c r="K5" s="192">
        <f>SUM(I5:J5)</f>
        <v>43</v>
      </c>
      <c r="L5" s="84">
        <f>((((I5*D5)*$G$31)+((I5*E5)*$G$33)+((I5*F5)*$G$35)+((I5*G5)*$G$37)+((I5*H5)*$G$39)+((I5*H5)*$G$41)))*(5/12)</f>
        <v>119594.99352164795</v>
      </c>
      <c r="M5" s="84">
        <f>((((J5*D5)*$G$31)+((J5*E5)*$G$33)+((J5*F5)*$G$35)+((J5*G5)*$G$37)+((J5*H5)*$G$39)+((J5*H5)*$G$41)))*(5/12)</f>
        <v>57735.514113899037</v>
      </c>
      <c r="N5" s="197">
        <f>SUM(L5:M5)</f>
        <v>177330.50763554699</v>
      </c>
      <c r="O5" s="195">
        <v>35</v>
      </c>
      <c r="P5" s="195">
        <v>8</v>
      </c>
      <c r="Q5" s="195">
        <f>SUM(O5:P5)</f>
        <v>43</v>
      </c>
      <c r="R5" s="84">
        <f>((((O5*D5)*$G$31)+((O5*E5)*$G$33)+((O5*F5)*$G$35)+((O5*G5)*$G$37)+((O5*H5)*$G$39)+((O5*H5)*$G$41)))*(7/12)</f>
        <v>202074.2993986466</v>
      </c>
      <c r="S5" s="84">
        <f>((((P5*D5)*$G$31)+((P5*E5)*$G$33)+((P5*F5)*$G$35)+((P5*G5)*$G$37)+((P5*H5)*$G$39)+((P5*H5)*$G$41)))*(7/12)</f>
        <v>46188.411291119228</v>
      </c>
      <c r="T5" s="200">
        <f>SUM(R5:S5)</f>
        <v>248262.71068976584</v>
      </c>
      <c r="U5" s="200">
        <f>N5+T5</f>
        <v>425593.21832531283</v>
      </c>
      <c r="V5" s="187">
        <f>((5/12)*K5)+((7/12)*Q5)</f>
        <v>43</v>
      </c>
      <c r="W5" s="148">
        <f>U5/V5</f>
        <v>9897.5167052398338</v>
      </c>
    </row>
    <row r="6" spans="1:23" hidden="1" x14ac:dyDescent="0.2">
      <c r="A6" s="241">
        <v>9257005</v>
      </c>
      <c r="B6" s="42" t="s">
        <v>68</v>
      </c>
      <c r="C6" s="43">
        <v>3</v>
      </c>
      <c r="D6" s="54">
        <f>'Revised Band Returns'!F6</f>
        <v>0.1206896551724138</v>
      </c>
      <c r="E6" s="54">
        <f>'Revised Band Returns'!H6</f>
        <v>0.39655172413793105</v>
      </c>
      <c r="F6" s="54">
        <f>'Revised Band Returns'!J6</f>
        <v>0.27586206896551724</v>
      </c>
      <c r="G6" s="54">
        <f>'Revised Band Returns'!L6</f>
        <v>8.6206896551724144E-2</v>
      </c>
      <c r="H6" s="54">
        <f>'Revised Band Returns'!N6</f>
        <v>0.1206896551724138</v>
      </c>
      <c r="I6" s="191">
        <v>38</v>
      </c>
      <c r="J6" s="191">
        <v>25</v>
      </c>
      <c r="K6" s="192">
        <f t="shared" ref="K6:K25" si="0">SUM(I6:J6)</f>
        <v>63</v>
      </c>
      <c r="L6" s="84">
        <f t="shared" ref="L6:L25" si="1">((((I6*D6)*$G$31)+((I6*E6)*$G$33)+((I6*F6)*$G$35)+((I6*G6)*$G$37)+((I6*H6)*$G$39)+((I6*H6)*$G$41)))*(5/12)</f>
        <v>139100.36057828771</v>
      </c>
      <c r="M6" s="84">
        <f t="shared" ref="M6:M25" si="2">((((J6*D6)*$G$31)+((J6*E6)*$G$33)+((J6*F6)*$G$35)+((J6*G6)*$G$37)+((J6*H6)*$G$39)+((J6*H6)*$G$41)))*(5/12)</f>
        <v>91513.395117294538</v>
      </c>
      <c r="N6" s="197">
        <f t="shared" ref="N6:N25" si="3">SUM(L6:M6)</f>
        <v>230613.75569558225</v>
      </c>
      <c r="O6" s="195">
        <v>38</v>
      </c>
      <c r="P6" s="195">
        <v>25</v>
      </c>
      <c r="Q6" s="195">
        <f t="shared" ref="Q6:Q25" si="4">SUM(O6:P6)</f>
        <v>63</v>
      </c>
      <c r="R6" s="84">
        <f t="shared" ref="R6:R25" si="5">((((O6*D6)*$G$31)+((O6*E6)*$G$33)+((O6*F6)*$G$35)+((O6*G6)*$G$37)+((O6*H6)*$G$39)+((O6*H6)*$G$41)))*(7/12)</f>
        <v>194740.5048096028</v>
      </c>
      <c r="S6" s="84">
        <f t="shared" ref="S6:S25" si="6">((((P6*D6)*$G$31)+((P6*E6)*$G$33)+((P6*F6)*$G$35)+((P6*G6)*$G$37)+((P6*H6)*$G$39)+((P6*H6)*$G$41)))*(7/12)</f>
        <v>128118.75316421235</v>
      </c>
      <c r="T6" s="200">
        <f t="shared" ref="T6:T25" si="7">SUM(R6:S6)</f>
        <v>322859.25797381514</v>
      </c>
      <c r="U6" s="200">
        <f t="shared" ref="U6:U25" si="8">N6+T6</f>
        <v>553473.01366939745</v>
      </c>
      <c r="V6" s="187">
        <f t="shared" ref="V6:V25" si="9">((5/12)*K6)+((7/12)*Q6)</f>
        <v>63</v>
      </c>
      <c r="W6" s="148">
        <f t="shared" ref="W6:W25" si="10">U6/V6</f>
        <v>8785.2859312602777</v>
      </c>
    </row>
    <row r="7" spans="1:23" hidden="1" x14ac:dyDescent="0.2">
      <c r="A7" s="241">
        <v>9257025</v>
      </c>
      <c r="B7" s="42" t="s">
        <v>69</v>
      </c>
      <c r="C7" s="43">
        <v>3</v>
      </c>
      <c r="D7" s="54">
        <f>'Revised Band Returns'!F7</f>
        <v>0.32608695652173914</v>
      </c>
      <c r="E7" s="54">
        <f>'Revised Band Returns'!H7</f>
        <v>0.34782608695652173</v>
      </c>
      <c r="F7" s="54">
        <f>'Revised Band Returns'!J7</f>
        <v>0</v>
      </c>
      <c r="G7" s="54">
        <f>'Revised Band Returns'!L7</f>
        <v>4.3478260869565216E-2</v>
      </c>
      <c r="H7" s="54">
        <f>'Revised Band Returns'!N7</f>
        <v>0.28260869565217389</v>
      </c>
      <c r="I7" s="191">
        <v>41</v>
      </c>
      <c r="J7" s="191">
        <v>12</v>
      </c>
      <c r="K7" s="192">
        <f t="shared" si="0"/>
        <v>53</v>
      </c>
      <c r="L7" s="84">
        <f t="shared" si="1"/>
        <v>186660.86075141121</v>
      </c>
      <c r="M7" s="84">
        <f t="shared" si="2"/>
        <v>54632.447049193535</v>
      </c>
      <c r="N7" s="197">
        <f t="shared" si="3"/>
        <v>241293.30780060473</v>
      </c>
      <c r="O7" s="195">
        <v>39</v>
      </c>
      <c r="P7" s="195">
        <v>14</v>
      </c>
      <c r="Q7" s="195">
        <f t="shared" si="4"/>
        <v>53</v>
      </c>
      <c r="R7" s="84">
        <f t="shared" si="5"/>
        <v>248577.63407383056</v>
      </c>
      <c r="S7" s="84">
        <f t="shared" si="6"/>
        <v>89232.996847016097</v>
      </c>
      <c r="T7" s="200">
        <f t="shared" si="7"/>
        <v>337810.63092084666</v>
      </c>
      <c r="U7" s="200">
        <f t="shared" si="8"/>
        <v>579103.93872145144</v>
      </c>
      <c r="V7" s="187">
        <f t="shared" si="9"/>
        <v>53</v>
      </c>
      <c r="W7" s="148">
        <f t="shared" si="10"/>
        <v>10926.489409838707</v>
      </c>
    </row>
    <row r="8" spans="1:23" hidden="1" x14ac:dyDescent="0.2">
      <c r="A8" s="241">
        <v>9257011</v>
      </c>
      <c r="B8" s="42" t="s">
        <v>70</v>
      </c>
      <c r="C8" s="43">
        <v>3</v>
      </c>
      <c r="D8" s="54">
        <f>'Revised Band Returns'!F8</f>
        <v>0.35</v>
      </c>
      <c r="E8" s="54">
        <f>'Revised Band Returns'!H8</f>
        <v>0.375</v>
      </c>
      <c r="F8" s="54">
        <f>'Revised Band Returns'!J8</f>
        <v>2.5000000000000001E-2</v>
      </c>
      <c r="G8" s="54">
        <f>'Revised Band Returns'!L8</f>
        <v>2.5000000000000001E-2</v>
      </c>
      <c r="H8" s="54">
        <f>'Revised Band Returns'!N8</f>
        <v>0.22500000000000001</v>
      </c>
      <c r="I8" s="191">
        <v>38</v>
      </c>
      <c r="J8" s="191">
        <v>3</v>
      </c>
      <c r="K8" s="192">
        <f t="shared" si="0"/>
        <v>41</v>
      </c>
      <c r="L8" s="84">
        <f t="shared" si="1"/>
        <v>166574.49625527041</v>
      </c>
      <c r="M8" s="84">
        <f t="shared" si="2"/>
        <v>13150.618125416086</v>
      </c>
      <c r="N8" s="197">
        <f t="shared" si="3"/>
        <v>179725.11438068649</v>
      </c>
      <c r="O8" s="195">
        <v>39</v>
      </c>
      <c r="P8" s="195">
        <v>2</v>
      </c>
      <c r="Q8" s="195">
        <f t="shared" si="4"/>
        <v>41</v>
      </c>
      <c r="R8" s="84">
        <f t="shared" si="5"/>
        <v>239341.24988257277</v>
      </c>
      <c r="S8" s="84">
        <f t="shared" si="6"/>
        <v>12273.910250388348</v>
      </c>
      <c r="T8" s="200">
        <f t="shared" si="7"/>
        <v>251615.16013296111</v>
      </c>
      <c r="U8" s="200">
        <f t="shared" si="8"/>
        <v>431340.2745136476</v>
      </c>
      <c r="V8" s="187">
        <f t="shared" si="9"/>
        <v>41</v>
      </c>
      <c r="W8" s="148">
        <f t="shared" si="10"/>
        <v>10520.494500332868</v>
      </c>
    </row>
    <row r="9" spans="1:23" hidden="1" x14ac:dyDescent="0.2">
      <c r="A9" s="241">
        <v>9257024</v>
      </c>
      <c r="B9" s="42" t="s">
        <v>71</v>
      </c>
      <c r="C9" s="43">
        <v>3</v>
      </c>
      <c r="D9" s="54">
        <f>'Revised Band Returns'!F9</f>
        <v>0.15217391304347827</v>
      </c>
      <c r="E9" s="54">
        <f>'Revised Band Returns'!H9</f>
        <v>0.65217391304347827</v>
      </c>
      <c r="F9" s="54">
        <f>'Revised Band Returns'!J9</f>
        <v>2.1739130434782608E-2</v>
      </c>
      <c r="G9" s="54">
        <f>'Revised Band Returns'!L9</f>
        <v>0.15217391304347827</v>
      </c>
      <c r="H9" s="54">
        <f>'Revised Band Returns'!N9</f>
        <v>2.1739130434782608E-2</v>
      </c>
      <c r="I9" s="191">
        <v>38</v>
      </c>
      <c r="J9" s="191">
        <v>9</v>
      </c>
      <c r="K9" s="192">
        <f t="shared" si="0"/>
        <v>47</v>
      </c>
      <c r="L9" s="84">
        <f t="shared" si="1"/>
        <v>139320.71497922856</v>
      </c>
      <c r="M9" s="84">
        <f t="shared" si="2"/>
        <v>32997.011442448857</v>
      </c>
      <c r="N9" s="197">
        <f t="shared" si="3"/>
        <v>172317.72642167742</v>
      </c>
      <c r="O9" s="195">
        <v>36</v>
      </c>
      <c r="P9" s="195">
        <v>11</v>
      </c>
      <c r="Q9" s="195">
        <f t="shared" si="4"/>
        <v>47</v>
      </c>
      <c r="R9" s="84">
        <f t="shared" si="5"/>
        <v>184783.2640777136</v>
      </c>
      <c r="S9" s="84">
        <f t="shared" si="6"/>
        <v>56461.552912634725</v>
      </c>
      <c r="T9" s="200">
        <f t="shared" si="7"/>
        <v>241244.81699034834</v>
      </c>
      <c r="U9" s="200">
        <f t="shared" si="8"/>
        <v>413562.54341202579</v>
      </c>
      <c r="V9" s="187">
        <f t="shared" si="9"/>
        <v>47</v>
      </c>
      <c r="W9" s="148">
        <f t="shared" si="10"/>
        <v>8799.2030513196969</v>
      </c>
    </row>
    <row r="10" spans="1:23" hidden="1" x14ac:dyDescent="0.2">
      <c r="A10" s="241">
        <v>9257031</v>
      </c>
      <c r="B10" s="42" t="s">
        <v>98</v>
      </c>
      <c r="C10" s="43">
        <v>3</v>
      </c>
      <c r="D10" s="54">
        <f>'Revised Band Returns'!F10</f>
        <v>0</v>
      </c>
      <c r="E10" s="54">
        <f>'Revised Band Returns'!H10</f>
        <v>0</v>
      </c>
      <c r="F10" s="54">
        <f>'Revised Band Returns'!J10</f>
        <v>0</v>
      </c>
      <c r="G10" s="54">
        <f>'Revised Band Returns'!L10</f>
        <v>0</v>
      </c>
      <c r="H10" s="54">
        <f>'Revised Band Returns'!N10</f>
        <v>1</v>
      </c>
      <c r="I10" s="191">
        <v>61</v>
      </c>
      <c r="J10" s="191">
        <v>0</v>
      </c>
      <c r="K10" s="192">
        <f t="shared" si="0"/>
        <v>61</v>
      </c>
      <c r="L10" s="84">
        <f t="shared" si="1"/>
        <v>364146.32506795577</v>
      </c>
      <c r="M10" s="84">
        <f t="shared" si="2"/>
        <v>0</v>
      </c>
      <c r="N10" s="197">
        <f t="shared" si="3"/>
        <v>364146.32506795577</v>
      </c>
      <c r="O10" s="195">
        <v>61</v>
      </c>
      <c r="P10" s="195">
        <v>0</v>
      </c>
      <c r="Q10" s="195">
        <f t="shared" si="4"/>
        <v>61</v>
      </c>
      <c r="R10" s="84">
        <f t="shared" si="5"/>
        <v>509804.85509513813</v>
      </c>
      <c r="S10" s="84">
        <f t="shared" si="6"/>
        <v>0</v>
      </c>
      <c r="T10" s="200">
        <f t="shared" si="7"/>
        <v>509804.85509513813</v>
      </c>
      <c r="U10" s="200">
        <f t="shared" si="8"/>
        <v>873951.18016309384</v>
      </c>
      <c r="V10" s="187">
        <f t="shared" si="9"/>
        <v>61</v>
      </c>
      <c r="W10" s="148">
        <f t="shared" si="10"/>
        <v>14327.068527263833</v>
      </c>
    </row>
    <row r="11" spans="1:23" hidden="1" x14ac:dyDescent="0.2">
      <c r="A11" s="241">
        <v>9257033</v>
      </c>
      <c r="B11" s="42" t="s">
        <v>72</v>
      </c>
      <c r="C11" s="43">
        <v>3</v>
      </c>
      <c r="D11" s="54">
        <f>'Revised Band Returns'!F11</f>
        <v>8.6956521739130432E-2</v>
      </c>
      <c r="E11" s="54">
        <f>'Revised Band Returns'!H11</f>
        <v>0.21739130434782608</v>
      </c>
      <c r="F11" s="54">
        <f>'Revised Band Returns'!J11</f>
        <v>0.5</v>
      </c>
      <c r="G11" s="54">
        <f>'Revised Band Returns'!L11</f>
        <v>4.3478260869565216E-2</v>
      </c>
      <c r="H11" s="54">
        <f>'Revised Band Returns'!N11</f>
        <v>0.15217391304347827</v>
      </c>
      <c r="I11" s="191">
        <v>60</v>
      </c>
      <c r="J11" s="191">
        <v>0</v>
      </c>
      <c r="K11" s="192">
        <f t="shared" si="0"/>
        <v>60</v>
      </c>
      <c r="L11" s="84">
        <f t="shared" si="1"/>
        <v>210624.28604617293</v>
      </c>
      <c r="M11" s="84">
        <f t="shared" si="2"/>
        <v>0</v>
      </c>
      <c r="N11" s="197">
        <f t="shared" si="3"/>
        <v>210624.28604617293</v>
      </c>
      <c r="O11" s="195">
        <v>60</v>
      </c>
      <c r="P11" s="195">
        <v>0</v>
      </c>
      <c r="Q11" s="195">
        <f t="shared" si="4"/>
        <v>60</v>
      </c>
      <c r="R11" s="84">
        <f t="shared" si="5"/>
        <v>294874.00046464213</v>
      </c>
      <c r="S11" s="84">
        <f t="shared" si="6"/>
        <v>0</v>
      </c>
      <c r="T11" s="200">
        <f t="shared" si="7"/>
        <v>294874.00046464213</v>
      </c>
      <c r="U11" s="200">
        <f t="shared" si="8"/>
        <v>505498.28651081503</v>
      </c>
      <c r="V11" s="187">
        <f t="shared" si="9"/>
        <v>60</v>
      </c>
      <c r="W11" s="148">
        <f t="shared" si="10"/>
        <v>8424.9714418469175</v>
      </c>
    </row>
    <row r="12" spans="1:23" hidden="1" x14ac:dyDescent="0.2">
      <c r="A12" s="241">
        <v>9257008</v>
      </c>
      <c r="B12" s="42" t="s">
        <v>73</v>
      </c>
      <c r="C12" s="43">
        <v>3</v>
      </c>
      <c r="D12" s="54">
        <f>'Revised Band Returns'!F12</f>
        <v>0</v>
      </c>
      <c r="E12" s="54">
        <f>'Revised Band Returns'!H12</f>
        <v>0.10526315789473684</v>
      </c>
      <c r="F12" s="54">
        <f>'Revised Band Returns'!J12</f>
        <v>0.55263157894736847</v>
      </c>
      <c r="G12" s="54">
        <f>'Revised Band Returns'!L12</f>
        <v>1.3157894736842105E-2</v>
      </c>
      <c r="H12" s="54">
        <f>'Revised Band Returns'!N12</f>
        <v>0.32894736842105265</v>
      </c>
      <c r="I12" s="191">
        <v>84</v>
      </c>
      <c r="J12" s="191">
        <v>0</v>
      </c>
      <c r="K12" s="192">
        <f t="shared" si="0"/>
        <v>84</v>
      </c>
      <c r="L12" s="84">
        <f t="shared" si="1"/>
        <v>318180.53201804025</v>
      </c>
      <c r="M12" s="84">
        <f t="shared" si="2"/>
        <v>0</v>
      </c>
      <c r="N12" s="197">
        <f t="shared" si="3"/>
        <v>318180.53201804025</v>
      </c>
      <c r="O12" s="195">
        <v>84</v>
      </c>
      <c r="P12" s="195">
        <v>0</v>
      </c>
      <c r="Q12" s="195">
        <f t="shared" si="4"/>
        <v>84</v>
      </c>
      <c r="R12" s="84">
        <f t="shared" si="5"/>
        <v>445452.74482525635</v>
      </c>
      <c r="S12" s="84">
        <f t="shared" si="6"/>
        <v>0</v>
      </c>
      <c r="T12" s="200">
        <f t="shared" si="7"/>
        <v>445452.74482525635</v>
      </c>
      <c r="U12" s="200">
        <f t="shared" si="8"/>
        <v>763633.2768432966</v>
      </c>
      <c r="V12" s="187">
        <f t="shared" si="9"/>
        <v>84</v>
      </c>
      <c r="W12" s="148">
        <f t="shared" si="10"/>
        <v>9090.8723433725791</v>
      </c>
    </row>
    <row r="13" spans="1:23" hidden="1" x14ac:dyDescent="0.2">
      <c r="A13" s="241">
        <v>9257034</v>
      </c>
      <c r="B13" s="42" t="s">
        <v>74</v>
      </c>
      <c r="C13" s="43">
        <v>4</v>
      </c>
      <c r="D13" s="54">
        <f>'Revised Band Returns'!F13</f>
        <v>5.3571428571428568E-2</v>
      </c>
      <c r="E13" s="54">
        <f>'Revised Band Returns'!H13</f>
        <v>7.1428571428571425E-2</v>
      </c>
      <c r="F13" s="54">
        <f>'Revised Band Returns'!J13</f>
        <v>0.6696428571428571</v>
      </c>
      <c r="G13" s="54">
        <f>'Revised Band Returns'!L13</f>
        <v>2.6785714285714284E-2</v>
      </c>
      <c r="H13" s="54">
        <f>'Revised Band Returns'!N13</f>
        <v>0.17857142857142858</v>
      </c>
      <c r="I13" s="191">
        <v>82</v>
      </c>
      <c r="J13" s="191">
        <v>27</v>
      </c>
      <c r="K13" s="192">
        <f t="shared" si="0"/>
        <v>109</v>
      </c>
      <c r="L13" s="84">
        <f t="shared" si="1"/>
        <v>280303.95224728779</v>
      </c>
      <c r="M13" s="84">
        <f t="shared" si="2"/>
        <v>92295.203788741113</v>
      </c>
      <c r="N13" s="197">
        <f t="shared" si="3"/>
        <v>372599.15603602887</v>
      </c>
      <c r="O13" s="195">
        <v>78</v>
      </c>
      <c r="P13" s="195">
        <v>31</v>
      </c>
      <c r="Q13" s="195">
        <f t="shared" si="4"/>
        <v>109</v>
      </c>
      <c r="R13" s="84">
        <f t="shared" si="5"/>
        <v>373282.8242122418</v>
      </c>
      <c r="S13" s="84">
        <f t="shared" si="6"/>
        <v>148355.99423819865</v>
      </c>
      <c r="T13" s="200">
        <f t="shared" si="7"/>
        <v>521638.81845044042</v>
      </c>
      <c r="U13" s="200">
        <f t="shared" si="8"/>
        <v>894237.97448646929</v>
      </c>
      <c r="V13" s="187">
        <f t="shared" si="9"/>
        <v>109</v>
      </c>
      <c r="W13" s="148">
        <f t="shared" si="10"/>
        <v>8204.0181145547649</v>
      </c>
    </row>
    <row r="14" spans="1:23" hidden="1" x14ac:dyDescent="0.2">
      <c r="A14" s="241">
        <v>9257002</v>
      </c>
      <c r="B14" s="42" t="s">
        <v>75</v>
      </c>
      <c r="C14" s="43">
        <v>4</v>
      </c>
      <c r="D14" s="54">
        <f>'Revised Band Returns'!F14</f>
        <v>1.6260162601626018E-2</v>
      </c>
      <c r="E14" s="54">
        <f>'Revised Band Returns'!H14</f>
        <v>0.25203252032520324</v>
      </c>
      <c r="F14" s="54">
        <f>'Revised Band Returns'!J14</f>
        <v>0.64227642276422769</v>
      </c>
      <c r="G14" s="54">
        <f>'Revised Band Returns'!L14</f>
        <v>0</v>
      </c>
      <c r="H14" s="54">
        <f>'Revised Band Returns'!N14</f>
        <v>8.943089430894309E-2</v>
      </c>
      <c r="I14" s="191">
        <v>130</v>
      </c>
      <c r="J14" s="191">
        <v>0</v>
      </c>
      <c r="K14" s="192">
        <f t="shared" si="0"/>
        <v>130</v>
      </c>
      <c r="L14" s="84">
        <f t="shared" si="1"/>
        <v>397262.04589398362</v>
      </c>
      <c r="M14" s="84">
        <f t="shared" si="2"/>
        <v>0</v>
      </c>
      <c r="N14" s="197">
        <f t="shared" si="3"/>
        <v>397262.04589398362</v>
      </c>
      <c r="O14" s="195">
        <v>130</v>
      </c>
      <c r="P14" s="195">
        <v>0</v>
      </c>
      <c r="Q14" s="195">
        <f t="shared" si="4"/>
        <v>130</v>
      </c>
      <c r="R14" s="84">
        <f t="shared" si="5"/>
        <v>556166.86425157706</v>
      </c>
      <c r="S14" s="84">
        <f t="shared" si="6"/>
        <v>0</v>
      </c>
      <c r="T14" s="200">
        <f t="shared" si="7"/>
        <v>556166.86425157706</v>
      </c>
      <c r="U14" s="200">
        <f t="shared" si="8"/>
        <v>953428.91014556075</v>
      </c>
      <c r="V14" s="187">
        <f t="shared" si="9"/>
        <v>130</v>
      </c>
      <c r="W14" s="148">
        <f t="shared" si="10"/>
        <v>7334.0685395812361</v>
      </c>
    </row>
    <row r="15" spans="1:23" hidden="1" x14ac:dyDescent="0.2">
      <c r="A15" s="241">
        <v>9257009</v>
      </c>
      <c r="B15" s="42" t="s">
        <v>76</v>
      </c>
      <c r="C15" s="43">
        <v>4</v>
      </c>
      <c r="D15" s="54">
        <f>'Revised Band Returns'!F15</f>
        <v>0</v>
      </c>
      <c r="E15" s="54">
        <f>'Revised Band Returns'!H15</f>
        <v>0.192</v>
      </c>
      <c r="F15" s="54">
        <f>'Revised Band Returns'!J15</f>
        <v>0.66400000000000003</v>
      </c>
      <c r="G15" s="54">
        <f>'Revised Band Returns'!L15</f>
        <v>0</v>
      </c>
      <c r="H15" s="54">
        <f>'Revised Band Returns'!N15</f>
        <v>0.14399999999999999</v>
      </c>
      <c r="I15" s="191">
        <v>131</v>
      </c>
      <c r="J15" s="191">
        <v>0</v>
      </c>
      <c r="K15" s="192">
        <f t="shared" si="0"/>
        <v>131</v>
      </c>
      <c r="L15" s="84">
        <f t="shared" si="1"/>
        <v>415933.63426517654</v>
      </c>
      <c r="M15" s="84">
        <f t="shared" si="2"/>
        <v>0</v>
      </c>
      <c r="N15" s="197">
        <f t="shared" si="3"/>
        <v>415933.63426517654</v>
      </c>
      <c r="O15" s="195">
        <v>131</v>
      </c>
      <c r="P15" s="195">
        <v>0</v>
      </c>
      <c r="Q15" s="195">
        <f t="shared" si="4"/>
        <v>131</v>
      </c>
      <c r="R15" s="84">
        <f t="shared" si="5"/>
        <v>582307.08797124715</v>
      </c>
      <c r="S15" s="84">
        <f t="shared" si="6"/>
        <v>0</v>
      </c>
      <c r="T15" s="200">
        <f t="shared" si="7"/>
        <v>582307.08797124715</v>
      </c>
      <c r="U15" s="200">
        <f t="shared" si="8"/>
        <v>998240.72223642375</v>
      </c>
      <c r="V15" s="187">
        <f t="shared" si="9"/>
        <v>131</v>
      </c>
      <c r="W15" s="148">
        <f t="shared" si="10"/>
        <v>7620.1581850108687</v>
      </c>
    </row>
    <row r="16" spans="1:23" hidden="1" x14ac:dyDescent="0.2">
      <c r="A16" s="241">
        <v>9257029</v>
      </c>
      <c r="B16" s="42" t="s">
        <v>99</v>
      </c>
      <c r="C16" s="43">
        <v>4</v>
      </c>
      <c r="D16" s="54">
        <f>'Revised Band Returns'!F16</f>
        <v>0</v>
      </c>
      <c r="E16" s="54">
        <f>'Revised Band Returns'!H16</f>
        <v>0</v>
      </c>
      <c r="F16" s="54">
        <f>'Revised Band Returns'!J16</f>
        <v>0</v>
      </c>
      <c r="G16" s="54">
        <f>'Revised Band Returns'!L16</f>
        <v>0</v>
      </c>
      <c r="H16" s="54">
        <f>'Revised Band Returns'!N16</f>
        <v>1</v>
      </c>
      <c r="I16" s="191">
        <v>62</v>
      </c>
      <c r="J16" s="191">
        <v>0</v>
      </c>
      <c r="K16" s="192">
        <f t="shared" si="0"/>
        <v>62</v>
      </c>
      <c r="L16" s="84">
        <f t="shared" si="1"/>
        <v>370115.93695431569</v>
      </c>
      <c r="M16" s="84">
        <f t="shared" si="2"/>
        <v>0</v>
      </c>
      <c r="N16" s="197">
        <f t="shared" si="3"/>
        <v>370115.93695431569</v>
      </c>
      <c r="O16" s="195">
        <v>62</v>
      </c>
      <c r="P16" s="195">
        <v>0</v>
      </c>
      <c r="Q16" s="195">
        <f t="shared" si="4"/>
        <v>62</v>
      </c>
      <c r="R16" s="84">
        <f t="shared" si="5"/>
        <v>518162.31173604203</v>
      </c>
      <c r="S16" s="84">
        <f t="shared" si="6"/>
        <v>0</v>
      </c>
      <c r="T16" s="200">
        <f t="shared" si="7"/>
        <v>518162.31173604203</v>
      </c>
      <c r="U16" s="200">
        <f t="shared" si="8"/>
        <v>888278.24869035766</v>
      </c>
      <c r="V16" s="187">
        <f t="shared" si="9"/>
        <v>62.000000000000007</v>
      </c>
      <c r="W16" s="148">
        <f t="shared" si="10"/>
        <v>14327.068527263831</v>
      </c>
    </row>
    <row r="17" spans="1:23" hidden="1" x14ac:dyDescent="0.2">
      <c r="A17" s="241">
        <v>9257032</v>
      </c>
      <c r="B17" s="42" t="s">
        <v>100</v>
      </c>
      <c r="C17" s="43">
        <v>4</v>
      </c>
      <c r="D17" s="54">
        <f>'Revised Band Returns'!F17</f>
        <v>0</v>
      </c>
      <c r="E17" s="54">
        <f>'Revised Band Returns'!H17</f>
        <v>0</v>
      </c>
      <c r="F17" s="54">
        <f>'Revised Band Returns'!J17</f>
        <v>0</v>
      </c>
      <c r="G17" s="54">
        <f>'Revised Band Returns'!L17</f>
        <v>0</v>
      </c>
      <c r="H17" s="54">
        <f>'Revised Band Returns'!N17</f>
        <v>1</v>
      </c>
      <c r="I17" s="191">
        <v>59</v>
      </c>
      <c r="J17" s="191">
        <v>0</v>
      </c>
      <c r="K17" s="192">
        <f t="shared" si="0"/>
        <v>59</v>
      </c>
      <c r="L17" s="84">
        <f t="shared" si="1"/>
        <v>352207.10129523586</v>
      </c>
      <c r="M17" s="84">
        <f t="shared" si="2"/>
        <v>0</v>
      </c>
      <c r="N17" s="197">
        <f t="shared" si="3"/>
        <v>352207.10129523586</v>
      </c>
      <c r="O17" s="195">
        <v>59</v>
      </c>
      <c r="P17" s="195">
        <v>0</v>
      </c>
      <c r="Q17" s="195">
        <f t="shared" si="4"/>
        <v>59</v>
      </c>
      <c r="R17" s="84">
        <f t="shared" si="5"/>
        <v>493089.94181333022</v>
      </c>
      <c r="S17" s="84">
        <f t="shared" si="6"/>
        <v>0</v>
      </c>
      <c r="T17" s="200">
        <f t="shared" si="7"/>
        <v>493089.94181333022</v>
      </c>
      <c r="U17" s="200">
        <f t="shared" si="8"/>
        <v>845297.04310856608</v>
      </c>
      <c r="V17" s="187">
        <f t="shared" si="9"/>
        <v>59.000000000000007</v>
      </c>
      <c r="W17" s="148">
        <f t="shared" si="10"/>
        <v>14327.068527263829</v>
      </c>
    </row>
    <row r="18" spans="1:23" hidden="1" x14ac:dyDescent="0.2">
      <c r="A18" s="241">
        <v>9257030</v>
      </c>
      <c r="B18" s="42" t="s">
        <v>92</v>
      </c>
      <c r="C18" s="43">
        <v>4</v>
      </c>
      <c r="D18" s="54">
        <f>'Revised Band Returns'!F18</f>
        <v>0</v>
      </c>
      <c r="E18" s="54">
        <f>'Revised Band Returns'!H18</f>
        <v>0</v>
      </c>
      <c r="F18" s="54">
        <f>'Revised Band Returns'!J18</f>
        <v>0</v>
      </c>
      <c r="G18" s="54">
        <f>'Revised Band Returns'!L18</f>
        <v>0</v>
      </c>
      <c r="H18" s="54">
        <f>'Revised Band Returns'!N18</f>
        <v>1</v>
      </c>
      <c r="I18" s="191">
        <v>55</v>
      </c>
      <c r="J18" s="191">
        <v>0</v>
      </c>
      <c r="K18" s="192">
        <f t="shared" si="0"/>
        <v>55</v>
      </c>
      <c r="L18" s="84">
        <f t="shared" si="1"/>
        <v>328328.65374979615</v>
      </c>
      <c r="M18" s="84">
        <f t="shared" si="2"/>
        <v>0</v>
      </c>
      <c r="N18" s="197">
        <f t="shared" si="3"/>
        <v>328328.65374979615</v>
      </c>
      <c r="O18" s="195">
        <v>55</v>
      </c>
      <c r="P18" s="195">
        <v>0</v>
      </c>
      <c r="Q18" s="195">
        <f t="shared" si="4"/>
        <v>55</v>
      </c>
      <c r="R18" s="84">
        <f t="shared" si="5"/>
        <v>459660.11524971464</v>
      </c>
      <c r="S18" s="84">
        <f t="shared" si="6"/>
        <v>0</v>
      </c>
      <c r="T18" s="200">
        <f t="shared" si="7"/>
        <v>459660.11524971464</v>
      </c>
      <c r="U18" s="200">
        <f t="shared" si="8"/>
        <v>787988.76899951079</v>
      </c>
      <c r="V18" s="187">
        <f t="shared" si="9"/>
        <v>55</v>
      </c>
      <c r="W18" s="148">
        <f t="shared" si="10"/>
        <v>14327.068527263833</v>
      </c>
    </row>
    <row r="19" spans="1:23" hidden="1" x14ac:dyDescent="0.2">
      <c r="A19" s="241">
        <v>9257028</v>
      </c>
      <c r="B19" s="42" t="s">
        <v>77</v>
      </c>
      <c r="C19" s="43">
        <v>4</v>
      </c>
      <c r="D19" s="54">
        <f>'Revised Band Returns'!F19</f>
        <v>0.25714285714285712</v>
      </c>
      <c r="E19" s="54">
        <f>'Revised Band Returns'!H19</f>
        <v>0.31428571428571428</v>
      </c>
      <c r="F19" s="54">
        <f>'Revised Band Returns'!J19</f>
        <v>5.7142857142857141E-2</v>
      </c>
      <c r="G19" s="54">
        <f>'Revised Band Returns'!L19</f>
        <v>0.15714285714285714</v>
      </c>
      <c r="H19" s="54">
        <f>'Revised Band Returns'!N19</f>
        <v>0.21428571428571427</v>
      </c>
      <c r="I19" s="191">
        <v>59</v>
      </c>
      <c r="J19" s="191">
        <v>14</v>
      </c>
      <c r="K19" s="192">
        <f t="shared" si="0"/>
        <v>73</v>
      </c>
      <c r="L19" s="84">
        <f t="shared" si="1"/>
        <v>260110.15586796915</v>
      </c>
      <c r="M19" s="84">
        <f t="shared" si="2"/>
        <v>61721.053934772346</v>
      </c>
      <c r="N19" s="197">
        <f t="shared" si="3"/>
        <v>321831.20980274148</v>
      </c>
      <c r="O19" s="195">
        <v>56</v>
      </c>
      <c r="P19" s="195">
        <v>17</v>
      </c>
      <c r="Q19" s="195">
        <f t="shared" si="4"/>
        <v>73</v>
      </c>
      <c r="R19" s="84">
        <f t="shared" si="5"/>
        <v>345637.90203472512</v>
      </c>
      <c r="S19" s="84">
        <f t="shared" si="6"/>
        <v>104925.79168911299</v>
      </c>
      <c r="T19" s="200">
        <f t="shared" si="7"/>
        <v>450563.69372383808</v>
      </c>
      <c r="U19" s="200">
        <f t="shared" si="8"/>
        <v>772394.9035265795</v>
      </c>
      <c r="V19" s="187">
        <f t="shared" si="9"/>
        <v>73</v>
      </c>
      <c r="W19" s="148">
        <f t="shared" si="10"/>
        <v>10580.752103103829</v>
      </c>
    </row>
    <row r="20" spans="1:23" hidden="1" x14ac:dyDescent="0.2">
      <c r="A20" s="241">
        <v>9257021</v>
      </c>
      <c r="B20" s="42" t="s">
        <v>78</v>
      </c>
      <c r="C20" s="43">
        <v>5</v>
      </c>
      <c r="D20" s="54">
        <f>'Revised Band Returns'!F20</f>
        <v>1.4598540145985401E-2</v>
      </c>
      <c r="E20" s="54">
        <f>'Revised Band Returns'!H20</f>
        <v>0.10948905109489052</v>
      </c>
      <c r="F20" s="54">
        <f>'Revised Band Returns'!J20</f>
        <v>0.74452554744525545</v>
      </c>
      <c r="G20" s="54">
        <f>'Revised Band Returns'!L20</f>
        <v>2.1897810218978103E-2</v>
      </c>
      <c r="H20" s="54">
        <f>'Revised Band Returns'!N20</f>
        <v>0.10948905109489052</v>
      </c>
      <c r="I20" s="191">
        <v>142</v>
      </c>
      <c r="J20" s="191">
        <v>0</v>
      </c>
      <c r="K20" s="192">
        <f t="shared" si="0"/>
        <v>142</v>
      </c>
      <c r="L20" s="84">
        <f t="shared" si="1"/>
        <v>440717.45291376894</v>
      </c>
      <c r="M20" s="84">
        <f t="shared" si="2"/>
        <v>0</v>
      </c>
      <c r="N20" s="197">
        <f t="shared" si="3"/>
        <v>440717.45291376894</v>
      </c>
      <c r="O20" s="195">
        <v>142</v>
      </c>
      <c r="P20" s="195">
        <v>0</v>
      </c>
      <c r="Q20" s="195">
        <f t="shared" si="4"/>
        <v>142</v>
      </c>
      <c r="R20" s="84">
        <f t="shared" si="5"/>
        <v>617004.43407927651</v>
      </c>
      <c r="S20" s="84">
        <f t="shared" si="6"/>
        <v>0</v>
      </c>
      <c r="T20" s="200">
        <f t="shared" si="7"/>
        <v>617004.43407927651</v>
      </c>
      <c r="U20" s="200">
        <f t="shared" si="8"/>
        <v>1057721.8869930455</v>
      </c>
      <c r="V20" s="187">
        <f t="shared" si="9"/>
        <v>142</v>
      </c>
      <c r="W20" s="148">
        <f t="shared" si="10"/>
        <v>7448.7456830496158</v>
      </c>
    </row>
    <row r="21" spans="1:23" hidden="1" x14ac:dyDescent="0.2">
      <c r="A21" s="241">
        <v>9257015</v>
      </c>
      <c r="B21" s="42" t="s">
        <v>57</v>
      </c>
      <c r="C21" s="43">
        <v>5</v>
      </c>
      <c r="D21" s="54">
        <f>'Revised Band Returns'!F21</f>
        <v>4.9723756906077346E-2</v>
      </c>
      <c r="E21" s="54">
        <f>'Revised Band Returns'!H21</f>
        <v>0.13812154696132597</v>
      </c>
      <c r="F21" s="54">
        <f>'Revised Band Returns'!J21</f>
        <v>0.71823204419889508</v>
      </c>
      <c r="G21" s="54">
        <f>'Revised Band Returns'!L21</f>
        <v>1.1049723756906077E-2</v>
      </c>
      <c r="H21" s="54">
        <f>'Revised Band Returns'!N21</f>
        <v>8.2872928176795577E-2</v>
      </c>
      <c r="I21" s="191">
        <v>211</v>
      </c>
      <c r="J21" s="191">
        <v>0</v>
      </c>
      <c r="K21" s="192">
        <f t="shared" si="0"/>
        <v>211</v>
      </c>
      <c r="L21" s="84">
        <f t="shared" si="1"/>
        <v>650367.66436397668</v>
      </c>
      <c r="M21" s="84">
        <f t="shared" si="2"/>
        <v>0</v>
      </c>
      <c r="N21" s="197">
        <f t="shared" si="3"/>
        <v>650367.66436397668</v>
      </c>
      <c r="O21" s="195">
        <v>228</v>
      </c>
      <c r="P21" s="195">
        <v>17</v>
      </c>
      <c r="Q21" s="195">
        <f t="shared" si="4"/>
        <v>245</v>
      </c>
      <c r="R21" s="84">
        <f t="shared" si="5"/>
        <v>983873.73680085957</v>
      </c>
      <c r="S21" s="84">
        <f t="shared" si="6"/>
        <v>73359.006691292161</v>
      </c>
      <c r="T21" s="200">
        <f t="shared" si="7"/>
        <v>1057232.7434921516</v>
      </c>
      <c r="U21" s="200">
        <f t="shared" si="8"/>
        <v>1707600.4078561282</v>
      </c>
      <c r="V21" s="187">
        <f t="shared" si="9"/>
        <v>230.83333333333337</v>
      </c>
      <c r="W21" s="148">
        <f t="shared" si="10"/>
        <v>7397.5468932395434</v>
      </c>
    </row>
    <row r="22" spans="1:23" hidden="1" x14ac:dyDescent="0.2">
      <c r="A22" s="241">
        <v>9257017</v>
      </c>
      <c r="B22" s="42" t="s">
        <v>79</v>
      </c>
      <c r="C22" s="43">
        <v>5</v>
      </c>
      <c r="D22" s="54">
        <f>'Revised Band Returns'!F22</f>
        <v>0.30864197530864196</v>
      </c>
      <c r="E22" s="54">
        <f>'Revised Band Returns'!H22</f>
        <v>0.5679012345679012</v>
      </c>
      <c r="F22" s="54">
        <f>'Revised Band Returns'!J22</f>
        <v>0</v>
      </c>
      <c r="G22" s="54">
        <f>'Revised Band Returns'!L22</f>
        <v>0</v>
      </c>
      <c r="H22" s="54">
        <f>'Revised Band Returns'!N22</f>
        <v>0.12345679012345678</v>
      </c>
      <c r="I22" s="191">
        <v>25</v>
      </c>
      <c r="J22" s="191">
        <v>12</v>
      </c>
      <c r="K22" s="192">
        <f t="shared" si="0"/>
        <v>37</v>
      </c>
      <c r="L22" s="84">
        <f t="shared" si="1"/>
        <v>99495.592950457911</v>
      </c>
      <c r="M22" s="84">
        <f t="shared" si="2"/>
        <v>47757.884616219795</v>
      </c>
      <c r="N22" s="197">
        <f t="shared" si="3"/>
        <v>147253.4775666777</v>
      </c>
      <c r="O22" s="195">
        <v>0</v>
      </c>
      <c r="P22" s="195">
        <v>0</v>
      </c>
      <c r="Q22" s="195">
        <f t="shared" si="4"/>
        <v>0</v>
      </c>
      <c r="R22" s="84">
        <f t="shared" si="5"/>
        <v>0</v>
      </c>
      <c r="S22" s="84">
        <f t="shared" si="6"/>
        <v>0</v>
      </c>
      <c r="T22" s="200">
        <f t="shared" si="7"/>
        <v>0</v>
      </c>
      <c r="U22" s="200">
        <f t="shared" si="8"/>
        <v>147253.4775666777</v>
      </c>
      <c r="V22" s="187">
        <f t="shared" si="9"/>
        <v>15.416666666666668</v>
      </c>
      <c r="W22" s="148">
        <f t="shared" si="10"/>
        <v>9551.5769232439579</v>
      </c>
    </row>
    <row r="23" spans="1:23" hidden="1" x14ac:dyDescent="0.2">
      <c r="A23" s="241">
        <v>9257016</v>
      </c>
      <c r="B23" s="42" t="s">
        <v>80</v>
      </c>
      <c r="C23" s="43">
        <v>6</v>
      </c>
      <c r="D23" s="54">
        <f>'Revised Band Returns'!F23</f>
        <v>0.42307692307692307</v>
      </c>
      <c r="E23" s="54">
        <f>'Revised Band Returns'!H23</f>
        <v>0</v>
      </c>
      <c r="F23" s="54">
        <f>'Revised Band Returns'!J23</f>
        <v>0.125</v>
      </c>
      <c r="G23" s="54">
        <f>'Revised Band Returns'!L23</f>
        <v>0.36538461538461536</v>
      </c>
      <c r="H23" s="54">
        <f>'Revised Band Returns'!N23</f>
        <v>8.6538461538461536E-2</v>
      </c>
      <c r="I23" s="191">
        <v>83</v>
      </c>
      <c r="J23" s="191">
        <v>46</v>
      </c>
      <c r="K23" s="192">
        <f>SUM(I23:J23)</f>
        <v>129</v>
      </c>
      <c r="L23" s="84">
        <f t="shared" si="1"/>
        <v>388682.65777476312</v>
      </c>
      <c r="M23" s="84">
        <f t="shared" si="2"/>
        <v>215414.48503179642</v>
      </c>
      <c r="N23" s="197">
        <f t="shared" si="3"/>
        <v>604097.14280655957</v>
      </c>
      <c r="O23" s="195">
        <v>79</v>
      </c>
      <c r="P23" s="195">
        <v>50</v>
      </c>
      <c r="Q23" s="195">
        <f t="shared" si="4"/>
        <v>129</v>
      </c>
      <c r="R23" s="84">
        <f t="shared" si="5"/>
        <v>517931.34879384103</v>
      </c>
      <c r="S23" s="84">
        <f t="shared" si="6"/>
        <v>327804.65113534243</v>
      </c>
      <c r="T23" s="200">
        <f t="shared" si="7"/>
        <v>845735.9999291834</v>
      </c>
      <c r="U23" s="200">
        <f t="shared" si="8"/>
        <v>1449833.142735743</v>
      </c>
      <c r="V23" s="187">
        <f t="shared" si="9"/>
        <v>129</v>
      </c>
      <c r="W23" s="148">
        <f t="shared" si="10"/>
        <v>11239.016610354596</v>
      </c>
    </row>
    <row r="24" spans="1:23" x14ac:dyDescent="0.2">
      <c r="A24" s="135">
        <v>9257012</v>
      </c>
      <c r="B24" s="135" t="s">
        <v>137</v>
      </c>
      <c r="C24" s="134"/>
      <c r="D24" s="54">
        <v>0</v>
      </c>
      <c r="E24" s="54">
        <v>0</v>
      </c>
      <c r="F24" s="54">
        <v>0</v>
      </c>
      <c r="G24" s="54">
        <v>1</v>
      </c>
      <c r="H24" s="98">
        <v>0</v>
      </c>
      <c r="I24" s="192">
        <v>20</v>
      </c>
      <c r="J24" s="192">
        <v>0</v>
      </c>
      <c r="K24" s="192">
        <f>SUM(I24:J24)</f>
        <v>20</v>
      </c>
      <c r="L24" s="84">
        <f t="shared" si="1"/>
        <v>97433.505317473231</v>
      </c>
      <c r="M24" s="84">
        <f t="shared" si="2"/>
        <v>0</v>
      </c>
      <c r="N24" s="197">
        <f t="shared" si="3"/>
        <v>97433.505317473231</v>
      </c>
      <c r="O24" s="98">
        <v>20</v>
      </c>
      <c r="P24" s="98">
        <v>0</v>
      </c>
      <c r="Q24" s="98">
        <f t="shared" si="4"/>
        <v>20</v>
      </c>
      <c r="R24" s="84">
        <f t="shared" si="5"/>
        <v>136406.90744446253</v>
      </c>
      <c r="S24" s="84">
        <f t="shared" si="6"/>
        <v>0</v>
      </c>
      <c r="T24" s="200">
        <f t="shared" si="7"/>
        <v>136406.90744446253</v>
      </c>
      <c r="U24" s="200">
        <f t="shared" si="8"/>
        <v>233840.41276193576</v>
      </c>
      <c r="V24" s="187">
        <f t="shared" si="9"/>
        <v>20</v>
      </c>
      <c r="W24" s="148">
        <f t="shared" si="10"/>
        <v>11692.020638096788</v>
      </c>
    </row>
    <row r="25" spans="1:23" x14ac:dyDescent="0.2">
      <c r="A25" s="135">
        <v>9257003</v>
      </c>
      <c r="B25" s="135" t="s">
        <v>138</v>
      </c>
      <c r="C25" s="134"/>
      <c r="D25" s="54">
        <v>0</v>
      </c>
      <c r="E25" s="54">
        <v>0</v>
      </c>
      <c r="F25" s="54">
        <v>0</v>
      </c>
      <c r="G25" s="54">
        <v>1</v>
      </c>
      <c r="H25" s="98">
        <v>0</v>
      </c>
      <c r="I25" s="192">
        <v>13</v>
      </c>
      <c r="J25" s="192">
        <v>0</v>
      </c>
      <c r="K25" s="192">
        <f t="shared" si="0"/>
        <v>13</v>
      </c>
      <c r="L25" s="84">
        <f t="shared" si="1"/>
        <v>63331.778456357599</v>
      </c>
      <c r="M25" s="84">
        <f t="shared" si="2"/>
        <v>0</v>
      </c>
      <c r="N25" s="197">
        <f t="shared" si="3"/>
        <v>63331.778456357599</v>
      </c>
      <c r="O25" s="98">
        <v>13</v>
      </c>
      <c r="P25" s="98">
        <v>0</v>
      </c>
      <c r="Q25" s="98">
        <f t="shared" si="4"/>
        <v>13</v>
      </c>
      <c r="R25" s="84">
        <f t="shared" si="5"/>
        <v>88664.489838900641</v>
      </c>
      <c r="S25" s="84">
        <f t="shared" si="6"/>
        <v>0</v>
      </c>
      <c r="T25" s="200">
        <f t="shared" si="7"/>
        <v>88664.489838900641</v>
      </c>
      <c r="U25" s="200">
        <f t="shared" si="8"/>
        <v>151996.26829525823</v>
      </c>
      <c r="V25" s="187">
        <f t="shared" si="9"/>
        <v>13</v>
      </c>
      <c r="W25" s="148">
        <f t="shared" si="10"/>
        <v>11692.020638096787</v>
      </c>
    </row>
    <row r="26" spans="1:23" x14ac:dyDescent="0.2">
      <c r="B26" s="55"/>
      <c r="C26" s="55"/>
      <c r="S26" s="84"/>
    </row>
    <row r="27" spans="1:23" x14ac:dyDescent="0.2">
      <c r="B27" s="55"/>
      <c r="C27" s="55"/>
      <c r="V27" s="67"/>
    </row>
    <row r="28" spans="1:23" x14ac:dyDescent="0.2">
      <c r="K28" s="57"/>
      <c r="L28" s="57"/>
      <c r="M28" s="57"/>
      <c r="N28" s="55"/>
      <c r="O28" s="55"/>
      <c r="P28" s="55"/>
      <c r="Q28" s="55"/>
      <c r="R28" s="55"/>
      <c r="S28" s="55"/>
      <c r="T28" s="201"/>
      <c r="U28" s="201"/>
    </row>
    <row r="29" spans="1:23" x14ac:dyDescent="0.2">
      <c r="B29" s="44"/>
      <c r="C29" s="44"/>
      <c r="J29" s="57"/>
      <c r="K29" s="279"/>
      <c r="L29" s="279"/>
      <c r="M29" s="279"/>
      <c r="N29" s="280"/>
      <c r="O29" s="81"/>
      <c r="P29" s="194"/>
      <c r="Q29" s="194"/>
      <c r="R29" s="194"/>
      <c r="S29" s="194"/>
      <c r="T29" s="202"/>
      <c r="U29" s="202"/>
    </row>
    <row r="30" spans="1:23" x14ac:dyDescent="0.2">
      <c r="J30" s="57"/>
      <c r="K30" s="280"/>
      <c r="L30" s="280"/>
      <c r="M30" s="280"/>
      <c r="N30" s="280"/>
      <c r="O30" s="81"/>
      <c r="P30" s="194"/>
      <c r="Q30" s="194"/>
      <c r="R30" s="194"/>
      <c r="S30" s="194"/>
      <c r="T30" s="202"/>
      <c r="U30" s="202"/>
    </row>
    <row r="31" spans="1:23" x14ac:dyDescent="0.2">
      <c r="C31" s="56"/>
      <c r="D31" s="57"/>
      <c r="E31" s="38" t="s">
        <v>2</v>
      </c>
      <c r="G31" s="46">
        <f>'Funding Model'!D7</f>
        <v>11692.020638096787</v>
      </c>
      <c r="H31" s="58">
        <f>'Funding Model'!E7</f>
        <v>0</v>
      </c>
      <c r="I31" s="58"/>
      <c r="J31" s="281"/>
      <c r="K31" s="280"/>
      <c r="L31" s="280"/>
      <c r="M31" s="280"/>
      <c r="N31" s="280"/>
      <c r="O31" s="81"/>
      <c r="P31" s="194"/>
      <c r="Q31" s="194"/>
      <c r="R31" s="194"/>
      <c r="S31" s="194"/>
      <c r="T31" s="202"/>
      <c r="U31" s="202"/>
    </row>
    <row r="32" spans="1:23" x14ac:dyDescent="0.2">
      <c r="C32" s="59"/>
      <c r="D32" s="57"/>
      <c r="G32" s="46"/>
      <c r="H32" s="58"/>
      <c r="I32" s="58"/>
      <c r="J32" s="281"/>
      <c r="K32" s="280"/>
      <c r="L32" s="280"/>
      <c r="M32" s="280"/>
      <c r="N32" s="280"/>
      <c r="O32" s="81"/>
      <c r="P32" s="194"/>
      <c r="Q32" s="194"/>
      <c r="R32" s="194"/>
      <c r="S32" s="194"/>
      <c r="T32" s="202"/>
      <c r="U32" s="202"/>
    </row>
    <row r="33" spans="2:21" x14ac:dyDescent="0.2">
      <c r="C33" s="56"/>
      <c r="D33" s="57"/>
      <c r="E33" s="38" t="s">
        <v>3</v>
      </c>
      <c r="G33" s="46">
        <f>'Funding Model'!D9</f>
        <v>7350.1419469065795</v>
      </c>
      <c r="H33" s="58">
        <f>'Funding Model'!E9</f>
        <v>0</v>
      </c>
      <c r="I33" s="58"/>
      <c r="J33" s="281"/>
      <c r="K33" s="279"/>
      <c r="L33" s="279"/>
      <c r="M33" s="279"/>
      <c r="N33" s="280"/>
      <c r="O33" s="81"/>
      <c r="P33" s="194"/>
      <c r="Q33" s="194"/>
      <c r="R33" s="194"/>
      <c r="S33" s="194"/>
      <c r="T33" s="202"/>
      <c r="U33" s="202"/>
    </row>
    <row r="34" spans="2:21" x14ac:dyDescent="0.2">
      <c r="C34" s="59"/>
      <c r="D34" s="57"/>
      <c r="G34" s="46"/>
      <c r="H34" s="58"/>
      <c r="I34" s="58"/>
      <c r="J34" s="281"/>
      <c r="K34" s="279"/>
      <c r="L34" s="279"/>
      <c r="M34" s="279"/>
      <c r="N34" s="280"/>
      <c r="O34" s="81"/>
      <c r="P34" s="194"/>
      <c r="Q34" s="194"/>
      <c r="R34" s="194"/>
      <c r="S34" s="194"/>
      <c r="T34" s="202"/>
      <c r="U34" s="202"/>
    </row>
    <row r="35" spans="2:21" x14ac:dyDescent="0.2">
      <c r="C35" s="56"/>
      <c r="D35" s="57"/>
      <c r="E35" s="38" t="s">
        <v>5</v>
      </c>
      <c r="G35" s="46">
        <f>'Funding Model'!D11</f>
        <v>6243.7244928897762</v>
      </c>
      <c r="H35" s="58">
        <f>'Funding Model'!E11</f>
        <v>0</v>
      </c>
      <c r="I35" s="58"/>
      <c r="J35" s="281"/>
      <c r="K35" s="279"/>
      <c r="L35" s="279"/>
      <c r="M35" s="279"/>
      <c r="N35" s="280"/>
      <c r="O35" s="81"/>
      <c r="P35" s="194"/>
      <c r="Q35" s="194"/>
      <c r="R35" s="194"/>
      <c r="S35" s="194"/>
      <c r="T35" s="202"/>
      <c r="U35" s="202"/>
    </row>
    <row r="36" spans="2:21" x14ac:dyDescent="0.2">
      <c r="C36" s="59"/>
      <c r="D36" s="57"/>
      <c r="G36" s="46"/>
      <c r="H36" s="58"/>
      <c r="I36" s="58"/>
      <c r="J36" s="281"/>
      <c r="K36" s="280"/>
      <c r="L36" s="25"/>
      <c r="M36" s="282"/>
      <c r="N36" s="280"/>
      <c r="O36" s="81"/>
      <c r="P36" s="194"/>
      <c r="Q36" s="194"/>
      <c r="R36" s="194"/>
      <c r="S36" s="194"/>
      <c r="T36" s="202"/>
      <c r="U36" s="202"/>
    </row>
    <row r="37" spans="2:21" x14ac:dyDescent="0.2">
      <c r="C37" s="56"/>
      <c r="D37" s="57"/>
      <c r="E37" s="38" t="s">
        <v>7</v>
      </c>
      <c r="G37" s="46">
        <f>'Funding Model'!D13</f>
        <v>11692.020638096787</v>
      </c>
      <c r="H37" s="58">
        <f>'Funding Model'!E13</f>
        <v>0</v>
      </c>
      <c r="I37" s="58"/>
      <c r="J37" s="281"/>
      <c r="K37" s="279"/>
      <c r="L37" s="279"/>
      <c r="M37" s="279"/>
      <c r="N37" s="280"/>
      <c r="O37" s="81"/>
      <c r="P37" s="194"/>
      <c r="Q37" s="194"/>
      <c r="R37" s="194"/>
      <c r="S37" s="194"/>
      <c r="T37" s="202"/>
      <c r="U37" s="202"/>
    </row>
    <row r="38" spans="2:21" x14ac:dyDescent="0.2">
      <c r="C38" s="59"/>
      <c r="D38" s="57"/>
      <c r="G38" s="46"/>
      <c r="H38" s="58"/>
      <c r="I38" s="58"/>
      <c r="J38" s="281"/>
      <c r="K38" s="280"/>
      <c r="L38" s="25"/>
      <c r="M38" s="282"/>
      <c r="N38" s="280"/>
      <c r="O38" s="81"/>
      <c r="P38" s="194"/>
      <c r="Q38" s="194"/>
      <c r="R38" s="194"/>
      <c r="S38" s="194"/>
      <c r="T38" s="202"/>
      <c r="U38" s="202"/>
    </row>
    <row r="39" spans="2:21" x14ac:dyDescent="0.2">
      <c r="C39" s="56"/>
      <c r="D39" s="57"/>
      <c r="E39" s="38" t="s">
        <v>8</v>
      </c>
      <c r="G39" s="46">
        <f>'Funding Model'!D15</f>
        <v>11692.020638096787</v>
      </c>
      <c r="H39" s="58">
        <f>'Funding Model'!E15</f>
        <v>0</v>
      </c>
      <c r="I39" s="58"/>
      <c r="J39" s="281"/>
      <c r="K39" s="279"/>
      <c r="L39" s="279"/>
      <c r="M39" s="279"/>
      <c r="N39" s="280"/>
      <c r="O39" s="81"/>
      <c r="P39" s="194"/>
      <c r="Q39" s="194"/>
      <c r="R39" s="194"/>
      <c r="S39" s="194"/>
      <c r="T39" s="202"/>
      <c r="U39" s="202"/>
    </row>
    <row r="40" spans="2:21" ht="14.25" x14ac:dyDescent="0.2">
      <c r="B40" s="60"/>
      <c r="C40" s="61"/>
      <c r="D40" s="62"/>
      <c r="E40" s="63"/>
      <c r="H40" s="71"/>
      <c r="I40" s="71"/>
      <c r="J40" s="283"/>
      <c r="K40" s="279"/>
      <c r="L40" s="279"/>
      <c r="M40" s="279"/>
      <c r="N40" s="280"/>
      <c r="O40" s="81"/>
      <c r="P40" s="194"/>
      <c r="Q40" s="194"/>
      <c r="R40" s="194"/>
      <c r="S40" s="194"/>
      <c r="T40" s="202"/>
      <c r="U40" s="202"/>
    </row>
    <row r="41" spans="2:21" ht="14.25" x14ac:dyDescent="0.2">
      <c r="B41" s="64"/>
      <c r="C41" s="65"/>
      <c r="E41" s="38" t="s">
        <v>109</v>
      </c>
      <c r="G41" s="46">
        <f>'Funding Model'!D17</f>
        <v>2635.0478891670464</v>
      </c>
      <c r="H41" s="58">
        <f>'Funding Model'!E17</f>
        <v>0</v>
      </c>
      <c r="I41" s="58"/>
      <c r="J41" s="281"/>
      <c r="K41" s="279"/>
      <c r="L41" s="279"/>
      <c r="M41" s="279"/>
      <c r="N41" s="280"/>
      <c r="O41" s="81"/>
      <c r="P41" s="194"/>
      <c r="Q41" s="194"/>
      <c r="R41" s="194"/>
      <c r="S41" s="194"/>
      <c r="T41" s="202"/>
      <c r="U41" s="202"/>
    </row>
    <row r="42" spans="2:21" x14ac:dyDescent="0.2">
      <c r="J42" s="57"/>
      <c r="K42" s="280"/>
      <c r="L42" s="280"/>
      <c r="M42" s="280"/>
      <c r="N42" s="280"/>
      <c r="O42" s="81"/>
      <c r="P42" s="194"/>
      <c r="Q42" s="194"/>
      <c r="R42" s="194"/>
      <c r="S42" s="194"/>
      <c r="T42" s="202"/>
      <c r="U42" s="202"/>
    </row>
    <row r="43" spans="2:21" x14ac:dyDescent="0.2">
      <c r="J43" s="57"/>
      <c r="K43" s="279"/>
      <c r="L43" s="279"/>
      <c r="M43" s="279"/>
      <c r="N43" s="280"/>
      <c r="O43" s="81"/>
      <c r="P43" s="194"/>
      <c r="Q43" s="194"/>
      <c r="R43" s="194"/>
      <c r="S43" s="194"/>
      <c r="T43" s="202"/>
      <c r="U43" s="202"/>
    </row>
    <row r="44" spans="2:21" x14ac:dyDescent="0.2">
      <c r="J44" s="57"/>
      <c r="K44" s="279"/>
      <c r="L44" s="279"/>
      <c r="M44" s="279"/>
      <c r="N44" s="280"/>
      <c r="O44" s="81"/>
      <c r="P44" s="194"/>
      <c r="Q44" s="194"/>
      <c r="R44" s="194"/>
      <c r="S44" s="194"/>
      <c r="T44" s="202"/>
      <c r="U44" s="202"/>
    </row>
    <row r="45" spans="2:21" x14ac:dyDescent="0.2">
      <c r="J45" s="57"/>
      <c r="K45" s="279"/>
      <c r="L45" s="279"/>
      <c r="M45" s="279"/>
      <c r="N45" s="280"/>
      <c r="O45" s="81"/>
      <c r="P45" s="194"/>
      <c r="Q45" s="194"/>
      <c r="R45" s="194"/>
      <c r="S45" s="194"/>
      <c r="T45" s="202"/>
      <c r="U45" s="202"/>
    </row>
    <row r="46" spans="2:21" x14ac:dyDescent="0.2">
      <c r="J46" s="57"/>
      <c r="K46" s="279"/>
      <c r="L46" s="279"/>
      <c r="M46" s="279"/>
      <c r="N46" s="280"/>
      <c r="O46" s="81"/>
      <c r="P46" s="194"/>
      <c r="Q46" s="194"/>
      <c r="R46" s="194"/>
      <c r="S46" s="194"/>
      <c r="T46" s="202"/>
      <c r="U46" s="202"/>
    </row>
    <row r="47" spans="2:21" x14ac:dyDescent="0.2">
      <c r="J47" s="57"/>
      <c r="K47" s="279"/>
      <c r="L47" s="279"/>
      <c r="M47" s="279"/>
      <c r="N47" s="280"/>
      <c r="O47" s="81"/>
      <c r="P47" s="194"/>
      <c r="Q47" s="194"/>
      <c r="R47" s="194"/>
      <c r="S47" s="194"/>
      <c r="T47" s="202"/>
      <c r="U47" s="202"/>
    </row>
    <row r="48" spans="2:21" x14ac:dyDescent="0.2">
      <c r="J48" s="57"/>
      <c r="K48" s="279"/>
      <c r="L48" s="279"/>
      <c r="M48" s="279"/>
      <c r="N48" s="280"/>
      <c r="O48" s="81"/>
      <c r="P48" s="194"/>
      <c r="Q48" s="194"/>
      <c r="R48" s="194"/>
      <c r="S48" s="194"/>
      <c r="T48" s="202"/>
      <c r="U48" s="202"/>
    </row>
    <row r="49" spans="10:21" x14ac:dyDescent="0.2">
      <c r="J49" s="57"/>
      <c r="K49" s="279"/>
      <c r="L49" s="279"/>
      <c r="M49" s="279"/>
      <c r="N49" s="280"/>
      <c r="O49" s="81"/>
      <c r="P49" s="194"/>
      <c r="Q49" s="194"/>
      <c r="R49" s="194"/>
      <c r="S49" s="194"/>
      <c r="T49" s="202"/>
      <c r="U49" s="202"/>
    </row>
    <row r="50" spans="10:21" x14ac:dyDescent="0.2">
      <c r="J50" s="57"/>
      <c r="K50" s="57"/>
      <c r="L50" s="57"/>
      <c r="M50" s="57"/>
      <c r="N50" s="55"/>
      <c r="O50" s="55"/>
      <c r="P50" s="55"/>
      <c r="Q50" s="55"/>
      <c r="R50" s="55"/>
      <c r="S50" s="55"/>
      <c r="T50" s="201"/>
      <c r="U50" s="201"/>
    </row>
  </sheetData>
  <pageMargins left="0.39370078740157483" right="0.39370078740157483" top="0.98425196850393704" bottom="0.98425196850393704" header="0.51181102362204722" footer="0.51181102362204722"/>
  <pageSetup paperSize="9" scale="57" orientation="landscape" r:id="rId1"/>
  <headerFooter alignWithMargins="0">
    <oddFoote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A1:C30"/>
  <sheetViews>
    <sheetView workbookViewId="0">
      <selection activeCell="C24" sqref="C24"/>
    </sheetView>
  </sheetViews>
  <sheetFormatPr defaultColWidth="9.140625" defaultRowHeight="12.75" x14ac:dyDescent="0.2"/>
  <cols>
    <col min="1" max="1" width="14.5703125" style="332" customWidth="1"/>
    <col min="2" max="2" width="27.42578125" style="332" bestFit="1" customWidth="1"/>
    <col min="3" max="3" width="11" style="332" bestFit="1" customWidth="1"/>
    <col min="4" max="16384" width="9.140625" style="332"/>
  </cols>
  <sheetData>
    <row r="1" spans="1:3" x14ac:dyDescent="0.2">
      <c r="A1" s="331" t="s">
        <v>316</v>
      </c>
    </row>
    <row r="3" spans="1:3" x14ac:dyDescent="0.2">
      <c r="A3" s="332" t="s">
        <v>317</v>
      </c>
      <c r="C3" s="333">
        <v>0.12565902694384193</v>
      </c>
    </row>
    <row r="4" spans="1:3" x14ac:dyDescent="0.2">
      <c r="C4" s="333"/>
    </row>
    <row r="5" spans="1:3" x14ac:dyDescent="0.2">
      <c r="C5" s="334" t="s">
        <v>177</v>
      </c>
    </row>
    <row r="6" spans="1:3" x14ac:dyDescent="0.2">
      <c r="A6" s="335"/>
      <c r="B6" s="335"/>
      <c r="C6" s="336" t="s">
        <v>318</v>
      </c>
    </row>
    <row r="7" spans="1:3" x14ac:dyDescent="0.2">
      <c r="A7" s="337"/>
      <c r="B7" s="337"/>
      <c r="C7" s="338" t="s">
        <v>319</v>
      </c>
    </row>
    <row r="8" spans="1:3" x14ac:dyDescent="0.2">
      <c r="A8" s="339"/>
      <c r="B8" s="339" t="s">
        <v>320</v>
      </c>
      <c r="C8" s="340" t="s">
        <v>321</v>
      </c>
    </row>
    <row r="9" spans="1:3" x14ac:dyDescent="0.2">
      <c r="A9" s="341">
        <v>9257010</v>
      </c>
      <c r="B9" s="342" t="s">
        <v>67</v>
      </c>
      <c r="C9" s="343">
        <v>8695.8559825677494</v>
      </c>
    </row>
    <row r="10" spans="1:3" x14ac:dyDescent="0.2">
      <c r="A10" s="341">
        <v>9257029</v>
      </c>
      <c r="B10" s="342" t="s">
        <v>193</v>
      </c>
      <c r="C10" s="343">
        <v>7293.7525599283608</v>
      </c>
    </row>
    <row r="11" spans="1:3" x14ac:dyDescent="0.2">
      <c r="A11" s="341">
        <v>9257030</v>
      </c>
      <c r="B11" s="342" t="s">
        <v>92</v>
      </c>
      <c r="C11" s="343">
        <v>7293.7525599283608</v>
      </c>
    </row>
    <row r="12" spans="1:3" x14ac:dyDescent="0.2">
      <c r="A12" s="341">
        <v>9257031</v>
      </c>
      <c r="B12" s="342" t="s">
        <v>322</v>
      </c>
      <c r="C12" s="343">
        <v>6994.5584167750731</v>
      </c>
    </row>
    <row r="13" spans="1:3" x14ac:dyDescent="0.2">
      <c r="A13" s="341">
        <v>9257008</v>
      </c>
      <c r="B13" s="342" t="s">
        <v>73</v>
      </c>
      <c r="C13" s="343">
        <v>8695.8559825677494</v>
      </c>
    </row>
    <row r="14" spans="1:3" x14ac:dyDescent="0.2">
      <c r="A14" s="341">
        <v>9257002</v>
      </c>
      <c r="B14" s="342" t="s">
        <v>75</v>
      </c>
      <c r="C14" s="343">
        <v>11157.390661370669</v>
      </c>
    </row>
    <row r="15" spans="1:3" x14ac:dyDescent="0.2">
      <c r="A15" s="341">
        <v>9257005</v>
      </c>
      <c r="B15" s="342" t="s">
        <v>68</v>
      </c>
      <c r="C15" s="343">
        <v>8695.8559825677494</v>
      </c>
    </row>
    <row r="16" spans="1:3" x14ac:dyDescent="0.2">
      <c r="A16" s="341">
        <v>9257034</v>
      </c>
      <c r="B16" s="342" t="s">
        <v>74</v>
      </c>
      <c r="C16" s="343">
        <v>11157.390661370669</v>
      </c>
    </row>
    <row r="17" spans="1:3" x14ac:dyDescent="0.2">
      <c r="A17" s="341">
        <v>9257021</v>
      </c>
      <c r="B17" s="342" t="s">
        <v>78</v>
      </c>
      <c r="C17" s="343">
        <v>14705.498946156989</v>
      </c>
    </row>
    <row r="18" spans="1:3" x14ac:dyDescent="0.2">
      <c r="A18" s="341">
        <v>9257033</v>
      </c>
      <c r="B18" s="342" t="s">
        <v>96</v>
      </c>
      <c r="C18" s="343">
        <v>8695.8559825677494</v>
      </c>
    </row>
    <row r="19" spans="1:3" x14ac:dyDescent="0.2">
      <c r="A19" s="341">
        <v>9257015</v>
      </c>
      <c r="B19" s="342" t="s">
        <v>57</v>
      </c>
      <c r="C19" s="343">
        <v>14705.498946156989</v>
      </c>
    </row>
    <row r="20" spans="1:3" x14ac:dyDescent="0.2">
      <c r="A20" s="341">
        <v>9257016</v>
      </c>
      <c r="B20" s="342" t="s">
        <v>323</v>
      </c>
      <c r="C20" s="343">
        <v>16551.807029042859</v>
      </c>
    </row>
    <row r="21" spans="1:3" x14ac:dyDescent="0.2">
      <c r="A21" s="341">
        <v>9257032</v>
      </c>
      <c r="B21" s="342" t="s">
        <v>324</v>
      </c>
      <c r="C21" s="343">
        <v>7293.7525599283608</v>
      </c>
    </row>
    <row r="22" spans="1:3" x14ac:dyDescent="0.2">
      <c r="A22" s="341">
        <v>9257025</v>
      </c>
      <c r="B22" s="342" t="s">
        <v>69</v>
      </c>
      <c r="C22" s="343">
        <v>8695.8559825677494</v>
      </c>
    </row>
    <row r="23" spans="1:3" x14ac:dyDescent="0.2">
      <c r="A23" s="341">
        <v>9257012</v>
      </c>
      <c r="B23" s="342" t="s">
        <v>137</v>
      </c>
      <c r="C23" s="343">
        <v>5770.2625172612215</v>
      </c>
    </row>
    <row r="24" spans="1:3" x14ac:dyDescent="0.2">
      <c r="A24" s="341">
        <v>9257003</v>
      </c>
      <c r="B24" s="342" t="s">
        <v>325</v>
      </c>
      <c r="C24" s="343">
        <v>2347.5619413648551</v>
      </c>
    </row>
    <row r="25" spans="1:3" x14ac:dyDescent="0.2">
      <c r="A25" s="341">
        <v>9257011</v>
      </c>
      <c r="B25" s="342" t="s">
        <v>70</v>
      </c>
      <c r="C25" s="343">
        <v>8695.8559825677494</v>
      </c>
    </row>
    <row r="26" spans="1:3" x14ac:dyDescent="0.2">
      <c r="A26" s="341">
        <v>9257009</v>
      </c>
      <c r="B26" s="342" t="s">
        <v>76</v>
      </c>
      <c r="C26" s="343">
        <v>11157.390661370669</v>
      </c>
    </row>
    <row r="27" spans="1:3" x14ac:dyDescent="0.2">
      <c r="A27" s="341">
        <v>9257024</v>
      </c>
      <c r="B27" s="342" t="s">
        <v>71</v>
      </c>
      <c r="C27" s="343">
        <v>8695.8559825677494</v>
      </c>
    </row>
    <row r="28" spans="1:3" x14ac:dyDescent="0.2">
      <c r="A28" s="341">
        <v>9257028</v>
      </c>
      <c r="B28" s="342" t="s">
        <v>326</v>
      </c>
      <c r="C28" s="343">
        <v>11157.390661370669</v>
      </c>
    </row>
    <row r="30" spans="1:3" x14ac:dyDescent="0.2">
      <c r="A30" s="332" t="s">
        <v>327</v>
      </c>
    </row>
  </sheetData>
  <customSheetViews>
    <customSheetView guid="{6B129A8F-21F1-407F-BF03-B1785CB23E02}" state="hidden">
      <selection activeCell="C24" sqref="C24"/>
      <pageMargins left="0.75" right="0.75" top="1" bottom="1" header="0.5" footer="0.5"/>
      <headerFooter alignWithMargins="0"/>
    </customSheetView>
  </customSheetViews>
  <phoneticPr fontId="6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5" sqref="G15"/>
    </sheetView>
  </sheetViews>
  <sheetFormatPr defaultRowHeight="12.75" x14ac:dyDescent="0.2"/>
  <cols>
    <col min="2" max="2" width="27.42578125" bestFit="1" customWidth="1"/>
    <col min="3" max="3" width="16.42578125" bestFit="1" customWidth="1"/>
    <col min="7" max="7" width="10.7109375" bestFit="1" customWidth="1"/>
    <col min="8" max="8" width="11.140625" bestFit="1" customWidth="1"/>
  </cols>
  <sheetData>
    <row r="1" spans="1:9" x14ac:dyDescent="0.2">
      <c r="D1" s="579" t="s">
        <v>330</v>
      </c>
      <c r="E1" s="580"/>
      <c r="F1" s="581"/>
      <c r="G1" s="346" t="s">
        <v>331</v>
      </c>
      <c r="H1" s="347" t="s">
        <v>332</v>
      </c>
      <c r="I1" s="348"/>
    </row>
    <row r="2" spans="1:9" x14ac:dyDescent="0.2">
      <c r="B2" s="24"/>
      <c r="C2" t="s">
        <v>333</v>
      </c>
      <c r="D2" s="349" t="s">
        <v>334</v>
      </c>
      <c r="E2" s="350" t="s">
        <v>335</v>
      </c>
      <c r="F2" s="351" t="s">
        <v>336</v>
      </c>
      <c r="G2" s="352"/>
      <c r="H2" s="347" t="s">
        <v>337</v>
      </c>
      <c r="I2" s="348" t="s">
        <v>338</v>
      </c>
    </row>
    <row r="3" spans="1:9" x14ac:dyDescent="0.2">
      <c r="A3" s="353">
        <v>770000</v>
      </c>
      <c r="B3" s="354" t="s">
        <v>67</v>
      </c>
      <c r="C3" s="355">
        <v>69202</v>
      </c>
      <c r="D3" s="356">
        <v>5569</v>
      </c>
      <c r="E3" s="357">
        <f>SUM(D3-F3)</f>
        <v>1569</v>
      </c>
      <c r="F3" s="358">
        <v>4000</v>
      </c>
      <c r="G3" s="359">
        <f t="shared" ref="G3:G22" si="0">C3*$C$27</f>
        <v>10124.912850239976</v>
      </c>
      <c r="H3" s="360">
        <v>10288.999311954349</v>
      </c>
      <c r="I3" s="361">
        <f>G3-H3</f>
        <v>-164.08646171437249</v>
      </c>
    </row>
    <row r="4" spans="1:9" x14ac:dyDescent="0.2">
      <c r="A4" s="353">
        <v>770200</v>
      </c>
      <c r="B4" s="354" t="s">
        <v>92</v>
      </c>
      <c r="C4" s="355">
        <v>58044</v>
      </c>
      <c r="D4" s="356">
        <v>6025</v>
      </c>
      <c r="E4" s="357">
        <f t="shared" ref="E4:E18" si="1">SUM(D4-F4)</f>
        <v>2025</v>
      </c>
      <c r="F4" s="358">
        <v>4000</v>
      </c>
      <c r="G4" s="359">
        <f t="shared" si="0"/>
        <v>8492.3909927361819</v>
      </c>
      <c r="H4" s="360">
        <v>11131.481568418916</v>
      </c>
      <c r="I4" s="361">
        <f t="shared" ref="I4:I18" si="2">G4-H4</f>
        <v>-2639.0905756827342</v>
      </c>
    </row>
    <row r="5" spans="1:9" x14ac:dyDescent="0.2">
      <c r="A5" s="353">
        <v>770300</v>
      </c>
      <c r="B5" s="354" t="s">
        <v>322</v>
      </c>
      <c r="C5" s="355">
        <v>55663</v>
      </c>
      <c r="D5" s="356">
        <v>5688</v>
      </c>
      <c r="E5" s="357">
        <f t="shared" si="1"/>
        <v>1688</v>
      </c>
      <c r="F5" s="358">
        <v>4000</v>
      </c>
      <c r="G5" s="359">
        <f t="shared" si="0"/>
        <v>8144.0279758230663</v>
      </c>
      <c r="H5" s="360">
        <v>10508.857620110672</v>
      </c>
      <c r="I5" s="361">
        <f t="shared" si="2"/>
        <v>-2364.8296442876053</v>
      </c>
    </row>
    <row r="6" spans="1:9" x14ac:dyDescent="0.2">
      <c r="A6" s="353">
        <v>770600</v>
      </c>
      <c r="B6" s="354" t="s">
        <v>73</v>
      </c>
      <c r="C6" s="355">
        <v>69202</v>
      </c>
      <c r="D6" s="356">
        <v>6886</v>
      </c>
      <c r="E6" s="357">
        <f t="shared" si="1"/>
        <v>2886</v>
      </c>
      <c r="F6" s="358">
        <v>4000</v>
      </c>
      <c r="G6" s="359">
        <f t="shared" si="0"/>
        <v>10124.912850239976</v>
      </c>
      <c r="H6" s="360">
        <v>12722.221092138201</v>
      </c>
      <c r="I6" s="361">
        <f t="shared" si="2"/>
        <v>-2597.3082418982249</v>
      </c>
    </row>
    <row r="7" spans="1:9" x14ac:dyDescent="0.2">
      <c r="A7" s="353">
        <v>770900</v>
      </c>
      <c r="B7" s="354" t="s">
        <v>74</v>
      </c>
      <c r="C7" s="355">
        <v>117027.3922528728</v>
      </c>
      <c r="D7" s="356">
        <v>7038</v>
      </c>
      <c r="E7" s="357">
        <f t="shared" si="1"/>
        <v>3038</v>
      </c>
      <c r="F7" s="358">
        <v>4000</v>
      </c>
      <c r="G7" s="359">
        <f t="shared" si="0"/>
        <v>17122.224034727118</v>
      </c>
      <c r="H7" s="360">
        <v>13003.048510959723</v>
      </c>
      <c r="I7" s="361">
        <f t="shared" si="2"/>
        <v>4119.1755237673951</v>
      </c>
    </row>
    <row r="8" spans="1:9" x14ac:dyDescent="0.2">
      <c r="A8" s="353">
        <v>771000</v>
      </c>
      <c r="B8" s="354" t="s">
        <v>78</v>
      </c>
      <c r="C8" s="355">
        <v>117027</v>
      </c>
      <c r="D8" s="356">
        <v>8320</v>
      </c>
      <c r="E8" s="357">
        <f t="shared" si="1"/>
        <v>4320</v>
      </c>
      <c r="F8" s="358">
        <v>4000</v>
      </c>
      <c r="G8" s="359">
        <f t="shared" si="0"/>
        <v>17122.166644389377</v>
      </c>
      <c r="H8" s="360">
        <v>15371.606082862305</v>
      </c>
      <c r="I8" s="361">
        <f t="shared" si="2"/>
        <v>1750.5605615270724</v>
      </c>
    </row>
    <row r="9" spans="1:9" x14ac:dyDescent="0.2">
      <c r="A9" s="353">
        <v>771100</v>
      </c>
      <c r="B9" s="354" t="s">
        <v>96</v>
      </c>
      <c r="C9" s="355">
        <v>69202</v>
      </c>
      <c r="D9" s="356">
        <v>5873</v>
      </c>
      <c r="E9" s="357">
        <f t="shared" si="1"/>
        <v>1873</v>
      </c>
      <c r="F9" s="358">
        <v>4000</v>
      </c>
      <c r="G9" s="359">
        <f t="shared" si="0"/>
        <v>10124.912850239976</v>
      </c>
      <c r="H9" s="360">
        <v>10850.654149597394</v>
      </c>
      <c r="I9" s="361">
        <f t="shared" si="2"/>
        <v>-725.74129935741803</v>
      </c>
    </row>
    <row r="10" spans="1:9" x14ac:dyDescent="0.2">
      <c r="A10" s="353">
        <v>771300</v>
      </c>
      <c r="B10" s="354" t="s">
        <v>57</v>
      </c>
      <c r="C10" s="355">
        <v>131719.7894229154</v>
      </c>
      <c r="D10" s="356">
        <v>9856</v>
      </c>
      <c r="E10" s="357">
        <f t="shared" si="1"/>
        <v>5856</v>
      </c>
      <c r="F10" s="358">
        <v>4000</v>
      </c>
      <c r="G10" s="359">
        <f t="shared" si="0"/>
        <v>19271.86191958296</v>
      </c>
      <c r="H10" s="360">
        <v>18209.441052006114</v>
      </c>
      <c r="I10" s="361">
        <f t="shared" si="2"/>
        <v>1062.4208675768459</v>
      </c>
    </row>
    <row r="11" spans="1:9" x14ac:dyDescent="0.2">
      <c r="A11" s="353">
        <v>771400</v>
      </c>
      <c r="B11" s="354" t="s">
        <v>323</v>
      </c>
      <c r="C11" s="355">
        <v>131720</v>
      </c>
      <c r="D11" s="356">
        <v>7206</v>
      </c>
      <c r="E11" s="357">
        <f t="shared" si="1"/>
        <v>3206</v>
      </c>
      <c r="F11" s="358">
        <v>4000</v>
      </c>
      <c r="G11" s="359">
        <f t="shared" si="0"/>
        <v>19271.892729019535</v>
      </c>
      <c r="H11" s="360">
        <v>13313.436710709828</v>
      </c>
      <c r="I11" s="361">
        <f t="shared" si="2"/>
        <v>5958.4560183097074</v>
      </c>
    </row>
    <row r="12" spans="1:9" x14ac:dyDescent="0.2">
      <c r="A12" s="353">
        <v>771500</v>
      </c>
      <c r="B12" s="354" t="s">
        <v>324</v>
      </c>
      <c r="C12" s="355">
        <v>58044</v>
      </c>
      <c r="D12" s="356">
        <v>6160</v>
      </c>
      <c r="E12" s="357">
        <f t="shared" si="1"/>
        <v>2160</v>
      </c>
      <c r="F12" s="358">
        <v>4000</v>
      </c>
      <c r="G12" s="359">
        <f t="shared" si="0"/>
        <v>8492.3909927361819</v>
      </c>
      <c r="H12" s="360">
        <v>11380.900657503822</v>
      </c>
      <c r="I12" s="361">
        <f t="shared" si="2"/>
        <v>-2888.5096647676401</v>
      </c>
    </row>
    <row r="13" spans="1:9" x14ac:dyDescent="0.2">
      <c r="A13" s="353">
        <v>771700</v>
      </c>
      <c r="B13" s="354" t="s">
        <v>69</v>
      </c>
      <c r="C13" s="355">
        <v>88790.687513148558</v>
      </c>
      <c r="D13" s="356">
        <v>5468</v>
      </c>
      <c r="E13" s="357">
        <f t="shared" si="1"/>
        <v>1468</v>
      </c>
      <c r="F13" s="358">
        <v>4000</v>
      </c>
      <c r="G13" s="359">
        <f t="shared" si="0"/>
        <v>12990.924727370886</v>
      </c>
      <c r="H13" s="360">
        <v>10102.396882342679</v>
      </c>
      <c r="I13" s="361">
        <f t="shared" si="2"/>
        <v>2888.5278450282076</v>
      </c>
    </row>
    <row r="14" spans="1:9" x14ac:dyDescent="0.2">
      <c r="A14" s="353">
        <v>771800</v>
      </c>
      <c r="B14" s="354" t="s">
        <v>137</v>
      </c>
      <c r="C14" s="355">
        <v>45920</v>
      </c>
      <c r="D14" s="356">
        <v>4371</v>
      </c>
      <c r="E14" s="357">
        <f t="shared" si="1"/>
        <v>371</v>
      </c>
      <c r="F14" s="358">
        <v>4000</v>
      </c>
      <c r="G14" s="359">
        <f t="shared" si="0"/>
        <v>6718.5341187107269</v>
      </c>
      <c r="H14" s="360">
        <v>8075.6358399268192</v>
      </c>
      <c r="I14" s="361">
        <f t="shared" si="2"/>
        <v>-1357.1017212160923</v>
      </c>
    </row>
    <row r="15" spans="1:9" x14ac:dyDescent="0.2">
      <c r="A15" s="353">
        <v>771900</v>
      </c>
      <c r="B15" s="354" t="s">
        <v>325</v>
      </c>
      <c r="C15" s="355">
        <v>18682</v>
      </c>
      <c r="D15" s="356">
        <v>4034</v>
      </c>
      <c r="E15" s="357">
        <f t="shared" si="1"/>
        <v>34</v>
      </c>
      <c r="F15" s="358">
        <v>4000</v>
      </c>
      <c r="G15" s="359">
        <f t="shared" si="0"/>
        <v>2733.3548433308756</v>
      </c>
      <c r="H15" s="360">
        <v>7453.0118916185738</v>
      </c>
      <c r="I15" s="361">
        <f t="shared" si="2"/>
        <v>-4719.6570482876978</v>
      </c>
    </row>
    <row r="16" spans="1:9" x14ac:dyDescent="0.2">
      <c r="A16" s="353">
        <v>772100</v>
      </c>
      <c r="B16" s="354" t="s">
        <v>70</v>
      </c>
      <c r="C16" s="355">
        <v>69202</v>
      </c>
      <c r="D16" s="356">
        <v>5401</v>
      </c>
      <c r="E16" s="357">
        <f t="shared" si="1"/>
        <v>1401</v>
      </c>
      <c r="F16" s="358">
        <v>4000</v>
      </c>
      <c r="G16" s="359">
        <f t="shared" si="0"/>
        <v>10124.912850239976</v>
      </c>
      <c r="H16" s="360">
        <v>9978.6111122042439</v>
      </c>
      <c r="I16" s="361">
        <f t="shared" si="2"/>
        <v>146.30173803573234</v>
      </c>
    </row>
    <row r="17" spans="1:9" x14ac:dyDescent="0.2">
      <c r="A17" s="353">
        <v>772200</v>
      </c>
      <c r="B17" s="354" t="s">
        <v>76</v>
      </c>
      <c r="C17" s="355">
        <v>88790.687513148558</v>
      </c>
      <c r="D17" s="356">
        <v>8185</v>
      </c>
      <c r="E17" s="357">
        <f t="shared" si="1"/>
        <v>4185</v>
      </c>
      <c r="F17" s="358">
        <v>4000</v>
      </c>
      <c r="G17" s="359">
        <f t="shared" si="0"/>
        <v>12990.924727370886</v>
      </c>
      <c r="H17" s="360">
        <v>15122.186993777399</v>
      </c>
      <c r="I17" s="361">
        <f t="shared" si="2"/>
        <v>-2131.2622664065129</v>
      </c>
    </row>
    <row r="18" spans="1:9" x14ac:dyDescent="0.2">
      <c r="A18" s="353">
        <v>772600</v>
      </c>
      <c r="B18" s="354" t="s">
        <v>326</v>
      </c>
      <c r="C18" s="355">
        <v>117027</v>
      </c>
      <c r="D18" s="356">
        <v>6498</v>
      </c>
      <c r="E18" s="357">
        <f t="shared" si="1"/>
        <v>2498</v>
      </c>
      <c r="F18" s="358">
        <v>4000</v>
      </c>
      <c r="G18" s="359">
        <f t="shared" si="0"/>
        <v>17122.166644389377</v>
      </c>
      <c r="H18" s="360">
        <v>12005.372154620103</v>
      </c>
      <c r="I18" s="361">
        <f t="shared" si="2"/>
        <v>5116.7944897692742</v>
      </c>
    </row>
    <row r="19" spans="1:9" x14ac:dyDescent="0.2">
      <c r="A19" s="353">
        <v>788600</v>
      </c>
      <c r="B19" s="354" t="s">
        <v>193</v>
      </c>
      <c r="C19" s="355">
        <v>58044</v>
      </c>
      <c r="D19" s="356">
        <v>5991</v>
      </c>
      <c r="E19" s="357">
        <f>SUM(D19-F19)</f>
        <v>1991</v>
      </c>
      <c r="F19" s="358">
        <v>4000</v>
      </c>
      <c r="G19" s="359">
        <f t="shared" si="0"/>
        <v>8492.3909927361819</v>
      </c>
      <c r="H19" s="360">
        <v>11068.664908945681</v>
      </c>
      <c r="I19" s="361">
        <f>G19-H19</f>
        <v>-2576.2739162094986</v>
      </c>
    </row>
    <row r="20" spans="1:9" x14ac:dyDescent="0.2">
      <c r="A20" s="353">
        <v>789000</v>
      </c>
      <c r="B20" s="354" t="s">
        <v>71</v>
      </c>
      <c r="C20" s="355">
        <v>69202</v>
      </c>
      <c r="D20" s="356">
        <v>5603</v>
      </c>
      <c r="E20" s="357">
        <f>SUM(D20-F20)</f>
        <v>1603</v>
      </c>
      <c r="F20" s="358">
        <v>4000</v>
      </c>
      <c r="G20" s="359">
        <f t="shared" si="0"/>
        <v>10124.912850239976</v>
      </c>
      <c r="H20" s="360">
        <v>10351.815971427583</v>
      </c>
      <c r="I20" s="361">
        <f>G20-H20</f>
        <v>-226.9031211876063</v>
      </c>
    </row>
    <row r="21" spans="1:9" x14ac:dyDescent="0.2">
      <c r="A21" s="353">
        <v>790700</v>
      </c>
      <c r="B21" s="354" t="s">
        <v>75</v>
      </c>
      <c r="C21" s="355">
        <v>88791</v>
      </c>
      <c r="D21" s="356">
        <v>7679</v>
      </c>
      <c r="E21" s="357">
        <f>SUM(D21-F21)</f>
        <v>3679</v>
      </c>
      <c r="F21" s="358">
        <v>4000</v>
      </c>
      <c r="G21" s="359">
        <f t="shared" si="0"/>
        <v>12990.970447178663</v>
      </c>
      <c r="H21" s="360">
        <v>14187.327296911015</v>
      </c>
      <c r="I21" s="361">
        <f>G21-H21</f>
        <v>-1196.3568497323522</v>
      </c>
    </row>
    <row r="22" spans="1:9" x14ac:dyDescent="0.2">
      <c r="A22" s="353">
        <v>790800</v>
      </c>
      <c r="B22" s="354" t="s">
        <v>68</v>
      </c>
      <c r="C22" s="355">
        <v>88790.687513148558</v>
      </c>
      <c r="D22" s="356">
        <v>5654</v>
      </c>
      <c r="E22" s="357">
        <f>SUM(D22-F22)</f>
        <v>1654</v>
      </c>
      <c r="F22" s="358">
        <v>4000</v>
      </c>
      <c r="G22" s="359">
        <f t="shared" si="0"/>
        <v>12990.924727370886</v>
      </c>
      <c r="H22" s="360">
        <v>10446.040960637436</v>
      </c>
      <c r="I22" s="361">
        <f>G22-H22</f>
        <v>2544.8837667334501</v>
      </c>
    </row>
    <row r="23" spans="1:9" x14ac:dyDescent="0.2">
      <c r="A23" s="2"/>
      <c r="B23" s="362" t="s">
        <v>339</v>
      </c>
      <c r="C23" s="363">
        <f t="shared" ref="C23:I23" si="3">SUM(C3:C22)</f>
        <v>1610091.2442152342</v>
      </c>
      <c r="D23" s="364">
        <f t="shared" si="3"/>
        <v>127505</v>
      </c>
      <c r="E23" s="365">
        <f t="shared" si="3"/>
        <v>47505</v>
      </c>
      <c r="F23" s="366">
        <f t="shared" si="3"/>
        <v>80000</v>
      </c>
      <c r="G23" s="367">
        <f t="shared" si="3"/>
        <v>235571.71076867281</v>
      </c>
      <c r="H23" s="368">
        <f t="shared" si="3"/>
        <v>235571.71076867284</v>
      </c>
      <c r="I23" s="369">
        <f t="shared" si="3"/>
        <v>-7.0031092036515474E-11</v>
      </c>
    </row>
    <row r="24" spans="1:9" x14ac:dyDescent="0.2">
      <c r="C24" s="24"/>
    </row>
    <row r="26" spans="1:9" x14ac:dyDescent="0.2">
      <c r="B26" s="370" t="s">
        <v>340</v>
      </c>
      <c r="C26" s="371">
        <v>235571.71076867284</v>
      </c>
    </row>
    <row r="27" spans="1:9" x14ac:dyDescent="0.2">
      <c r="B27" s="370" t="s">
        <v>341</v>
      </c>
      <c r="C27" s="372">
        <f>C26/C23</f>
        <v>0.14630954091269005</v>
      </c>
    </row>
    <row r="29" spans="1:9" x14ac:dyDescent="0.2">
      <c r="B29" s="7" t="s">
        <v>342</v>
      </c>
    </row>
  </sheetData>
  <mergeCells count="1">
    <mergeCell ref="D1:F1"/>
  </mergeCell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2:N26"/>
  <sheetViews>
    <sheetView zoomScale="85" workbookViewId="0">
      <selection activeCell="D32" sqref="D32"/>
    </sheetView>
  </sheetViews>
  <sheetFormatPr defaultColWidth="9.140625" defaultRowHeight="12.75" x14ac:dyDescent="0.2"/>
  <cols>
    <col min="1" max="1" width="33.85546875" style="7" customWidth="1"/>
    <col min="2" max="2" width="0" style="7" hidden="1" customWidth="1"/>
    <col min="3" max="3" width="9.140625" style="7"/>
    <col min="4" max="14" width="9.140625" style="51"/>
    <col min="15" max="16384" width="9.140625" style="7"/>
  </cols>
  <sheetData>
    <row r="2" spans="1:14" x14ac:dyDescent="0.2">
      <c r="A2" s="96" t="s">
        <v>117</v>
      </c>
    </row>
    <row r="4" spans="1:14" ht="38.25" x14ac:dyDescent="0.2">
      <c r="A4" s="101" t="s">
        <v>66</v>
      </c>
      <c r="B4" s="101" t="s">
        <v>118</v>
      </c>
      <c r="C4" s="102" t="s">
        <v>52</v>
      </c>
      <c r="D4" s="103" t="s">
        <v>119</v>
      </c>
      <c r="E4" s="104" t="s">
        <v>120</v>
      </c>
      <c r="F4" s="105" t="s">
        <v>121</v>
      </c>
      <c r="G4" s="104" t="s">
        <v>122</v>
      </c>
      <c r="H4" s="105" t="s">
        <v>123</v>
      </c>
      <c r="I4" s="104" t="s">
        <v>124</v>
      </c>
      <c r="J4" s="105" t="s">
        <v>125</v>
      </c>
      <c r="K4" s="104" t="s">
        <v>126</v>
      </c>
      <c r="L4" s="105" t="s">
        <v>127</v>
      </c>
      <c r="M4" s="106" t="s">
        <v>128</v>
      </c>
      <c r="N4" s="107" t="s">
        <v>129</v>
      </c>
    </row>
    <row r="5" spans="1:14" ht="12.75" customHeight="1" x14ac:dyDescent="0.2">
      <c r="A5" s="108" t="s">
        <v>67</v>
      </c>
      <c r="B5" s="109" t="s">
        <v>130</v>
      </c>
      <c r="C5" s="110">
        <v>3</v>
      </c>
      <c r="D5" s="111">
        <f t="shared" ref="D5:D23" si="0">E5+G5+I5+K5+M5</f>
        <v>42</v>
      </c>
      <c r="E5" s="112">
        <v>13</v>
      </c>
      <c r="F5" s="113">
        <f t="shared" ref="F5:F23" si="1">E5/D5</f>
        <v>0.30952380952380953</v>
      </c>
      <c r="G5" s="114">
        <v>21</v>
      </c>
      <c r="H5" s="113">
        <f t="shared" ref="H5:H23" si="2">G5/D5</f>
        <v>0.5</v>
      </c>
      <c r="I5" s="114">
        <v>0</v>
      </c>
      <c r="J5" s="113">
        <f t="shared" ref="J5:J23" si="3">I5/D5</f>
        <v>0</v>
      </c>
      <c r="K5" s="114">
        <v>2</v>
      </c>
      <c r="L5" s="113">
        <f t="shared" ref="L5:L23" si="4">K5/D5</f>
        <v>4.7619047619047616E-2</v>
      </c>
      <c r="M5" s="115">
        <v>6</v>
      </c>
      <c r="N5" s="116">
        <f t="shared" ref="N5:N23" si="5">M5/D5</f>
        <v>0.14285714285714285</v>
      </c>
    </row>
    <row r="6" spans="1:14" ht="12.75" customHeight="1" x14ac:dyDescent="0.2">
      <c r="A6" s="108" t="s">
        <v>68</v>
      </c>
      <c r="B6" s="109" t="s">
        <v>131</v>
      </c>
      <c r="C6" s="110">
        <v>3</v>
      </c>
      <c r="D6" s="111">
        <f t="shared" si="0"/>
        <v>58</v>
      </c>
      <c r="E6" s="112">
        <v>7</v>
      </c>
      <c r="F6" s="113">
        <f t="shared" si="1"/>
        <v>0.1206896551724138</v>
      </c>
      <c r="G6" s="114">
        <v>23</v>
      </c>
      <c r="H6" s="113">
        <f t="shared" si="2"/>
        <v>0.39655172413793105</v>
      </c>
      <c r="I6" s="114">
        <v>16</v>
      </c>
      <c r="J6" s="113">
        <f t="shared" si="3"/>
        <v>0.27586206896551724</v>
      </c>
      <c r="K6" s="114">
        <v>5</v>
      </c>
      <c r="L6" s="113">
        <f t="shared" si="4"/>
        <v>8.6206896551724144E-2</v>
      </c>
      <c r="M6" s="115">
        <v>7</v>
      </c>
      <c r="N6" s="116">
        <f t="shared" si="5"/>
        <v>0.1206896551724138</v>
      </c>
    </row>
    <row r="7" spans="1:14" ht="12.75" customHeight="1" x14ac:dyDescent="0.2">
      <c r="A7" s="108" t="s">
        <v>69</v>
      </c>
      <c r="B7" s="109" t="s">
        <v>132</v>
      </c>
      <c r="C7" s="110">
        <v>3</v>
      </c>
      <c r="D7" s="111">
        <f t="shared" si="0"/>
        <v>46</v>
      </c>
      <c r="E7" s="112">
        <v>15</v>
      </c>
      <c r="F7" s="113">
        <f t="shared" si="1"/>
        <v>0.32608695652173914</v>
      </c>
      <c r="G7" s="114">
        <v>16</v>
      </c>
      <c r="H7" s="113">
        <f t="shared" si="2"/>
        <v>0.34782608695652173</v>
      </c>
      <c r="I7" s="114">
        <v>0</v>
      </c>
      <c r="J7" s="113">
        <f t="shared" si="3"/>
        <v>0</v>
      </c>
      <c r="K7" s="114">
        <v>2</v>
      </c>
      <c r="L7" s="113">
        <f t="shared" si="4"/>
        <v>4.3478260869565216E-2</v>
      </c>
      <c r="M7" s="115">
        <v>13</v>
      </c>
      <c r="N7" s="116">
        <f t="shared" si="5"/>
        <v>0.28260869565217389</v>
      </c>
    </row>
    <row r="8" spans="1:14" ht="12.75" customHeight="1" x14ac:dyDescent="0.2">
      <c r="A8" s="108" t="s">
        <v>70</v>
      </c>
      <c r="B8" s="109" t="s">
        <v>130</v>
      </c>
      <c r="C8" s="110">
        <v>3</v>
      </c>
      <c r="D8" s="111">
        <f t="shared" si="0"/>
        <v>40</v>
      </c>
      <c r="E8" s="112">
        <v>14</v>
      </c>
      <c r="F8" s="113">
        <f t="shared" si="1"/>
        <v>0.35</v>
      </c>
      <c r="G8" s="114">
        <v>15</v>
      </c>
      <c r="H8" s="113">
        <f t="shared" si="2"/>
        <v>0.375</v>
      </c>
      <c r="I8" s="114">
        <v>1</v>
      </c>
      <c r="J8" s="113">
        <f t="shared" si="3"/>
        <v>2.5000000000000001E-2</v>
      </c>
      <c r="K8" s="114">
        <v>1</v>
      </c>
      <c r="L8" s="113">
        <f t="shared" si="4"/>
        <v>2.5000000000000001E-2</v>
      </c>
      <c r="M8" s="115">
        <v>9</v>
      </c>
      <c r="N8" s="116">
        <f t="shared" si="5"/>
        <v>0.22500000000000001</v>
      </c>
    </row>
    <row r="9" spans="1:14" ht="12.75" customHeight="1" x14ac:dyDescent="0.2">
      <c r="A9" s="108" t="s">
        <v>71</v>
      </c>
      <c r="B9" s="109" t="s">
        <v>132</v>
      </c>
      <c r="C9" s="110">
        <v>3</v>
      </c>
      <c r="D9" s="111">
        <f t="shared" si="0"/>
        <v>46</v>
      </c>
      <c r="E9" s="114">
        <v>7</v>
      </c>
      <c r="F9" s="113">
        <f t="shared" si="1"/>
        <v>0.15217391304347827</v>
      </c>
      <c r="G9" s="114">
        <v>30</v>
      </c>
      <c r="H9" s="113">
        <f t="shared" si="2"/>
        <v>0.65217391304347827</v>
      </c>
      <c r="I9" s="114">
        <v>1</v>
      </c>
      <c r="J9" s="113">
        <f t="shared" si="3"/>
        <v>2.1739130434782608E-2</v>
      </c>
      <c r="K9" s="114">
        <v>7</v>
      </c>
      <c r="L9" s="113">
        <f t="shared" si="4"/>
        <v>0.15217391304347827</v>
      </c>
      <c r="M9" s="115">
        <v>1</v>
      </c>
      <c r="N9" s="116">
        <f t="shared" si="5"/>
        <v>2.1739130434782608E-2</v>
      </c>
    </row>
    <row r="10" spans="1:14" ht="12.75" customHeight="1" x14ac:dyDescent="0.2">
      <c r="A10" s="108" t="s">
        <v>98</v>
      </c>
      <c r="B10" s="109" t="s">
        <v>133</v>
      </c>
      <c r="C10" s="110">
        <v>3</v>
      </c>
      <c r="D10" s="111">
        <f t="shared" si="0"/>
        <v>53</v>
      </c>
      <c r="E10" s="114">
        <v>0</v>
      </c>
      <c r="F10" s="113">
        <f t="shared" si="1"/>
        <v>0</v>
      </c>
      <c r="G10" s="114">
        <v>0</v>
      </c>
      <c r="H10" s="113">
        <f t="shared" si="2"/>
        <v>0</v>
      </c>
      <c r="I10" s="114">
        <v>0</v>
      </c>
      <c r="J10" s="113">
        <f t="shared" si="3"/>
        <v>0</v>
      </c>
      <c r="K10" s="114">
        <v>0</v>
      </c>
      <c r="L10" s="113">
        <f t="shared" si="4"/>
        <v>0</v>
      </c>
      <c r="M10" s="115">
        <v>53</v>
      </c>
      <c r="N10" s="116">
        <f t="shared" si="5"/>
        <v>1</v>
      </c>
    </row>
    <row r="11" spans="1:14" ht="12.75" customHeight="1" x14ac:dyDescent="0.2">
      <c r="A11" s="108" t="s">
        <v>72</v>
      </c>
      <c r="B11" s="109" t="s">
        <v>131</v>
      </c>
      <c r="C11" s="110">
        <v>3</v>
      </c>
      <c r="D11" s="111">
        <f t="shared" si="0"/>
        <v>46</v>
      </c>
      <c r="E11" s="114">
        <v>4</v>
      </c>
      <c r="F11" s="113">
        <f t="shared" si="1"/>
        <v>8.6956521739130432E-2</v>
      </c>
      <c r="G11" s="114">
        <v>10</v>
      </c>
      <c r="H11" s="113">
        <f t="shared" si="2"/>
        <v>0.21739130434782608</v>
      </c>
      <c r="I11" s="114">
        <v>23</v>
      </c>
      <c r="J11" s="113">
        <f t="shared" si="3"/>
        <v>0.5</v>
      </c>
      <c r="K11" s="117">
        <v>2</v>
      </c>
      <c r="L11" s="113">
        <f t="shared" si="4"/>
        <v>4.3478260869565216E-2</v>
      </c>
      <c r="M11" s="115">
        <v>7</v>
      </c>
      <c r="N11" s="116">
        <f t="shared" si="5"/>
        <v>0.15217391304347827</v>
      </c>
    </row>
    <row r="12" spans="1:14" ht="12.75" customHeight="1" x14ac:dyDescent="0.2">
      <c r="A12" s="108" t="s">
        <v>73</v>
      </c>
      <c r="B12" s="109" t="s">
        <v>132</v>
      </c>
      <c r="C12" s="110">
        <v>3</v>
      </c>
      <c r="D12" s="111">
        <f t="shared" si="0"/>
        <v>76</v>
      </c>
      <c r="E12" s="114">
        <v>0</v>
      </c>
      <c r="F12" s="113">
        <f t="shared" si="1"/>
        <v>0</v>
      </c>
      <c r="G12" s="114">
        <v>8</v>
      </c>
      <c r="H12" s="113">
        <f t="shared" si="2"/>
        <v>0.10526315789473684</v>
      </c>
      <c r="I12" s="114">
        <v>42</v>
      </c>
      <c r="J12" s="113">
        <f t="shared" si="3"/>
        <v>0.55263157894736847</v>
      </c>
      <c r="K12" s="114">
        <v>1</v>
      </c>
      <c r="L12" s="113">
        <f t="shared" si="4"/>
        <v>1.3157894736842105E-2</v>
      </c>
      <c r="M12" s="118">
        <v>25</v>
      </c>
      <c r="N12" s="116">
        <f t="shared" si="5"/>
        <v>0.32894736842105265</v>
      </c>
    </row>
    <row r="13" spans="1:14" ht="12.75" customHeight="1" x14ac:dyDescent="0.2">
      <c r="A13" s="108" t="s">
        <v>74</v>
      </c>
      <c r="B13" s="109" t="s">
        <v>131</v>
      </c>
      <c r="C13" s="110">
        <v>4</v>
      </c>
      <c r="D13" s="111">
        <f t="shared" si="0"/>
        <v>112</v>
      </c>
      <c r="E13" s="114">
        <v>6</v>
      </c>
      <c r="F13" s="113">
        <f t="shared" si="1"/>
        <v>5.3571428571428568E-2</v>
      </c>
      <c r="G13" s="114">
        <v>8</v>
      </c>
      <c r="H13" s="113">
        <f t="shared" si="2"/>
        <v>7.1428571428571425E-2</v>
      </c>
      <c r="I13" s="114">
        <v>75</v>
      </c>
      <c r="J13" s="113">
        <f t="shared" si="3"/>
        <v>0.6696428571428571</v>
      </c>
      <c r="K13" s="114">
        <v>3</v>
      </c>
      <c r="L13" s="113">
        <f t="shared" si="4"/>
        <v>2.6785714285714284E-2</v>
      </c>
      <c r="M13" s="115">
        <v>20</v>
      </c>
      <c r="N13" s="116">
        <f t="shared" si="5"/>
        <v>0.17857142857142858</v>
      </c>
    </row>
    <row r="14" spans="1:14" ht="12.75" customHeight="1" x14ac:dyDescent="0.2">
      <c r="A14" s="108" t="s">
        <v>75</v>
      </c>
      <c r="B14" s="109" t="s">
        <v>131</v>
      </c>
      <c r="C14" s="110">
        <v>4</v>
      </c>
      <c r="D14" s="111">
        <f t="shared" si="0"/>
        <v>123</v>
      </c>
      <c r="E14" s="114">
        <v>2</v>
      </c>
      <c r="F14" s="113">
        <f t="shared" si="1"/>
        <v>1.6260162601626018E-2</v>
      </c>
      <c r="G14" s="114">
        <v>31</v>
      </c>
      <c r="H14" s="113">
        <f t="shared" si="2"/>
        <v>0.25203252032520324</v>
      </c>
      <c r="I14" s="114">
        <v>79</v>
      </c>
      <c r="J14" s="113">
        <f t="shared" si="3"/>
        <v>0.64227642276422769</v>
      </c>
      <c r="K14" s="114">
        <v>0</v>
      </c>
      <c r="L14" s="113">
        <f t="shared" si="4"/>
        <v>0</v>
      </c>
      <c r="M14" s="115">
        <v>11</v>
      </c>
      <c r="N14" s="116">
        <f t="shared" si="5"/>
        <v>8.943089430894309E-2</v>
      </c>
    </row>
    <row r="15" spans="1:14" ht="12.75" customHeight="1" x14ac:dyDescent="0.2">
      <c r="A15" s="108" t="s">
        <v>76</v>
      </c>
      <c r="B15" s="109" t="s">
        <v>130</v>
      </c>
      <c r="C15" s="110">
        <v>4</v>
      </c>
      <c r="D15" s="111">
        <f t="shared" si="0"/>
        <v>125</v>
      </c>
      <c r="E15" s="114">
        <v>0</v>
      </c>
      <c r="F15" s="113">
        <f t="shared" si="1"/>
        <v>0</v>
      </c>
      <c r="G15" s="114">
        <v>24</v>
      </c>
      <c r="H15" s="113">
        <f t="shared" si="2"/>
        <v>0.192</v>
      </c>
      <c r="I15" s="114">
        <v>83</v>
      </c>
      <c r="J15" s="113">
        <f t="shared" si="3"/>
        <v>0.66400000000000003</v>
      </c>
      <c r="K15" s="114">
        <v>0</v>
      </c>
      <c r="L15" s="113">
        <f t="shared" si="4"/>
        <v>0</v>
      </c>
      <c r="M15" s="115">
        <v>18</v>
      </c>
      <c r="N15" s="116">
        <f t="shared" si="5"/>
        <v>0.14399999999999999</v>
      </c>
    </row>
    <row r="16" spans="1:14" ht="12.75" customHeight="1" x14ac:dyDescent="0.2">
      <c r="A16" s="108" t="s">
        <v>99</v>
      </c>
      <c r="B16" s="109" t="s">
        <v>133</v>
      </c>
      <c r="C16" s="110">
        <v>4</v>
      </c>
      <c r="D16" s="111">
        <f t="shared" si="0"/>
        <v>58</v>
      </c>
      <c r="E16" s="114">
        <v>0</v>
      </c>
      <c r="F16" s="113">
        <f t="shared" si="1"/>
        <v>0</v>
      </c>
      <c r="G16" s="114">
        <v>0</v>
      </c>
      <c r="H16" s="113">
        <f t="shared" si="2"/>
        <v>0</v>
      </c>
      <c r="I16" s="114">
        <v>0</v>
      </c>
      <c r="J16" s="113">
        <f t="shared" si="3"/>
        <v>0</v>
      </c>
      <c r="K16" s="114">
        <v>0</v>
      </c>
      <c r="L16" s="113">
        <f t="shared" si="4"/>
        <v>0</v>
      </c>
      <c r="M16" s="115">
        <v>58</v>
      </c>
      <c r="N16" s="116">
        <f t="shared" si="5"/>
        <v>1</v>
      </c>
    </row>
    <row r="17" spans="1:14" ht="12.75" customHeight="1" x14ac:dyDescent="0.2">
      <c r="A17" s="108" t="s">
        <v>100</v>
      </c>
      <c r="B17" s="109" t="s">
        <v>133</v>
      </c>
      <c r="C17" s="110">
        <v>4</v>
      </c>
      <c r="D17" s="111">
        <f t="shared" si="0"/>
        <v>67</v>
      </c>
      <c r="E17" s="114">
        <v>0</v>
      </c>
      <c r="F17" s="113">
        <f t="shared" si="1"/>
        <v>0</v>
      </c>
      <c r="G17" s="114">
        <v>0</v>
      </c>
      <c r="H17" s="113">
        <f t="shared" si="2"/>
        <v>0</v>
      </c>
      <c r="I17" s="114">
        <v>0</v>
      </c>
      <c r="J17" s="113">
        <f t="shared" si="3"/>
        <v>0</v>
      </c>
      <c r="K17" s="114">
        <v>0</v>
      </c>
      <c r="L17" s="113">
        <f t="shared" si="4"/>
        <v>0</v>
      </c>
      <c r="M17" s="115">
        <v>67</v>
      </c>
      <c r="N17" s="116">
        <f t="shared" si="5"/>
        <v>1</v>
      </c>
    </row>
    <row r="18" spans="1:14" ht="12.75" customHeight="1" x14ac:dyDescent="0.2">
      <c r="A18" s="108" t="s">
        <v>92</v>
      </c>
      <c r="B18" s="109" t="s">
        <v>133</v>
      </c>
      <c r="C18" s="110">
        <v>4</v>
      </c>
      <c r="D18" s="111">
        <f t="shared" si="0"/>
        <v>61</v>
      </c>
      <c r="E18" s="112">
        <v>0</v>
      </c>
      <c r="F18" s="113">
        <f t="shared" si="1"/>
        <v>0</v>
      </c>
      <c r="G18" s="114">
        <v>0</v>
      </c>
      <c r="H18" s="113">
        <f t="shared" si="2"/>
        <v>0</v>
      </c>
      <c r="I18" s="119">
        <v>0</v>
      </c>
      <c r="J18" s="113">
        <f t="shared" si="3"/>
        <v>0</v>
      </c>
      <c r="K18" s="119">
        <v>0</v>
      </c>
      <c r="L18" s="113">
        <f t="shared" si="4"/>
        <v>0</v>
      </c>
      <c r="M18" s="115">
        <v>61</v>
      </c>
      <c r="N18" s="116">
        <f t="shared" si="5"/>
        <v>1</v>
      </c>
    </row>
    <row r="19" spans="1:14" ht="12.75" customHeight="1" x14ac:dyDescent="0.2">
      <c r="A19" s="108" t="s">
        <v>77</v>
      </c>
      <c r="B19" s="109" t="s">
        <v>130</v>
      </c>
      <c r="C19" s="110">
        <v>4</v>
      </c>
      <c r="D19" s="111">
        <f t="shared" si="0"/>
        <v>70</v>
      </c>
      <c r="E19" s="114">
        <v>18</v>
      </c>
      <c r="F19" s="113">
        <f t="shared" si="1"/>
        <v>0.25714285714285712</v>
      </c>
      <c r="G19" s="112">
        <v>22</v>
      </c>
      <c r="H19" s="113">
        <f t="shared" si="2"/>
        <v>0.31428571428571428</v>
      </c>
      <c r="I19" s="112">
        <v>4</v>
      </c>
      <c r="J19" s="113">
        <f t="shared" si="3"/>
        <v>5.7142857142857141E-2</v>
      </c>
      <c r="K19" s="112">
        <v>11</v>
      </c>
      <c r="L19" s="113">
        <f t="shared" si="4"/>
        <v>0.15714285714285714</v>
      </c>
      <c r="M19" s="115">
        <v>15</v>
      </c>
      <c r="N19" s="116">
        <f t="shared" si="5"/>
        <v>0.21428571428571427</v>
      </c>
    </row>
    <row r="20" spans="1:14" ht="12.75" customHeight="1" x14ac:dyDescent="0.2">
      <c r="A20" s="108" t="s">
        <v>78</v>
      </c>
      <c r="B20" s="109" t="s">
        <v>132</v>
      </c>
      <c r="C20" s="110">
        <v>5</v>
      </c>
      <c r="D20" s="111">
        <f t="shared" si="0"/>
        <v>137</v>
      </c>
      <c r="E20" s="114">
        <v>2</v>
      </c>
      <c r="F20" s="113">
        <f t="shared" si="1"/>
        <v>1.4598540145985401E-2</v>
      </c>
      <c r="G20" s="114">
        <v>15</v>
      </c>
      <c r="H20" s="113">
        <f t="shared" si="2"/>
        <v>0.10948905109489052</v>
      </c>
      <c r="I20" s="114">
        <v>102</v>
      </c>
      <c r="J20" s="113">
        <f t="shared" si="3"/>
        <v>0.74452554744525545</v>
      </c>
      <c r="K20" s="114">
        <v>3</v>
      </c>
      <c r="L20" s="113">
        <f t="shared" si="4"/>
        <v>2.1897810218978103E-2</v>
      </c>
      <c r="M20" s="115">
        <v>15</v>
      </c>
      <c r="N20" s="116">
        <f t="shared" si="5"/>
        <v>0.10948905109489052</v>
      </c>
    </row>
    <row r="21" spans="1:14" ht="12.75" customHeight="1" x14ac:dyDescent="0.2">
      <c r="A21" s="108" t="s">
        <v>57</v>
      </c>
      <c r="B21" s="109" t="s">
        <v>132</v>
      </c>
      <c r="C21" s="110">
        <v>5</v>
      </c>
      <c r="D21" s="111">
        <f t="shared" si="0"/>
        <v>181</v>
      </c>
      <c r="E21" s="114">
        <v>9</v>
      </c>
      <c r="F21" s="113">
        <f t="shared" si="1"/>
        <v>4.9723756906077346E-2</v>
      </c>
      <c r="G21" s="114">
        <v>25</v>
      </c>
      <c r="H21" s="113">
        <f t="shared" si="2"/>
        <v>0.13812154696132597</v>
      </c>
      <c r="I21" s="114">
        <v>130</v>
      </c>
      <c r="J21" s="113">
        <f t="shared" si="3"/>
        <v>0.71823204419889508</v>
      </c>
      <c r="K21" s="114">
        <v>2</v>
      </c>
      <c r="L21" s="113">
        <f t="shared" si="4"/>
        <v>1.1049723756906077E-2</v>
      </c>
      <c r="M21" s="115">
        <v>15</v>
      </c>
      <c r="N21" s="116">
        <f t="shared" si="5"/>
        <v>8.2872928176795577E-2</v>
      </c>
    </row>
    <row r="22" spans="1:14" ht="12.75" customHeight="1" x14ac:dyDescent="0.2">
      <c r="A22" s="108" t="s">
        <v>79</v>
      </c>
      <c r="B22" s="109" t="s">
        <v>134</v>
      </c>
      <c r="C22" s="110">
        <v>5</v>
      </c>
      <c r="D22" s="111">
        <f t="shared" si="0"/>
        <v>81</v>
      </c>
      <c r="E22" s="114">
        <v>25</v>
      </c>
      <c r="F22" s="113">
        <f t="shared" si="1"/>
        <v>0.30864197530864196</v>
      </c>
      <c r="G22" s="114">
        <v>46</v>
      </c>
      <c r="H22" s="113">
        <f t="shared" si="2"/>
        <v>0.5679012345679012</v>
      </c>
      <c r="I22" s="114">
        <v>0</v>
      </c>
      <c r="J22" s="113">
        <f t="shared" si="3"/>
        <v>0</v>
      </c>
      <c r="K22" s="114">
        <v>0</v>
      </c>
      <c r="L22" s="113">
        <f t="shared" si="4"/>
        <v>0</v>
      </c>
      <c r="M22" s="115">
        <v>10</v>
      </c>
      <c r="N22" s="116">
        <f t="shared" si="5"/>
        <v>0.12345679012345678</v>
      </c>
    </row>
    <row r="23" spans="1:14" ht="12.75" customHeight="1" x14ac:dyDescent="0.2">
      <c r="A23" s="108" t="s">
        <v>80</v>
      </c>
      <c r="B23" s="109" t="s">
        <v>131</v>
      </c>
      <c r="C23" s="110">
        <v>6</v>
      </c>
      <c r="D23" s="111">
        <f t="shared" si="0"/>
        <v>104</v>
      </c>
      <c r="E23" s="114">
        <v>44</v>
      </c>
      <c r="F23" s="113">
        <f t="shared" si="1"/>
        <v>0.42307692307692307</v>
      </c>
      <c r="G23" s="114">
        <v>0</v>
      </c>
      <c r="H23" s="113">
        <f t="shared" si="2"/>
        <v>0</v>
      </c>
      <c r="I23" s="114">
        <v>13</v>
      </c>
      <c r="J23" s="113">
        <f t="shared" si="3"/>
        <v>0.125</v>
      </c>
      <c r="K23" s="114">
        <v>38</v>
      </c>
      <c r="L23" s="113">
        <f t="shared" si="4"/>
        <v>0.36538461538461536</v>
      </c>
      <c r="M23" s="115">
        <v>9</v>
      </c>
      <c r="N23" s="116">
        <f t="shared" si="5"/>
        <v>8.6538461538461536E-2</v>
      </c>
    </row>
    <row r="24" spans="1:14" ht="12.75" customHeight="1" x14ac:dyDescent="0.2">
      <c r="A24" s="120" t="s">
        <v>62</v>
      </c>
      <c r="B24" s="120"/>
      <c r="C24" s="120"/>
      <c r="D24" s="121">
        <f>SUM(D5:D23)</f>
        <v>1526</v>
      </c>
      <c r="E24" s="122">
        <f>SUM(E5:E23)</f>
        <v>166</v>
      </c>
      <c r="F24" s="123"/>
      <c r="G24" s="122">
        <f>SUM(G5:G23)</f>
        <v>294</v>
      </c>
      <c r="H24" s="124"/>
      <c r="I24" s="122">
        <f>SUM(I5:I23)</f>
        <v>569</v>
      </c>
      <c r="J24" s="124"/>
      <c r="K24" s="122">
        <f>SUM(K5:K23)</f>
        <v>77</v>
      </c>
      <c r="L24" s="124"/>
      <c r="M24" s="125">
        <f>SUM(M5:M23)</f>
        <v>420</v>
      </c>
      <c r="N24" s="126"/>
    </row>
    <row r="25" spans="1:14" ht="12.75" customHeight="1" x14ac:dyDescent="0.2">
      <c r="A25" s="120" t="s">
        <v>101</v>
      </c>
      <c r="B25" s="120"/>
      <c r="C25" s="120"/>
      <c r="D25" s="127"/>
      <c r="E25" s="128">
        <f>E24/D24</f>
        <v>0.10878112712975098</v>
      </c>
      <c r="F25" s="113"/>
      <c r="G25" s="128">
        <f>G24/D24</f>
        <v>0.19266055045871561</v>
      </c>
      <c r="H25" s="113"/>
      <c r="I25" s="128">
        <f>I24/D24</f>
        <v>0.37287024901703802</v>
      </c>
      <c r="J25" s="113"/>
      <c r="K25" s="128">
        <f>K24/D24</f>
        <v>5.0458715596330278E-2</v>
      </c>
      <c r="L25" s="113"/>
      <c r="M25" s="129">
        <f>M24/D24</f>
        <v>0.27522935779816515</v>
      </c>
      <c r="N25" s="126"/>
    </row>
    <row r="26" spans="1:14" ht="12.75" customHeight="1" x14ac:dyDescent="0.2"/>
  </sheetData>
  <customSheetViews>
    <customSheetView guid="{6B129A8F-21F1-407F-BF03-B1785CB23E02}" scale="85" hiddenColumns="1" state="hidden" topLeftCell="A5">
      <selection activeCell="T41" sqref="T41:T43"/>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5"/>
  <sheetViews>
    <sheetView tabSelected="1" zoomScale="85" zoomScaleNormal="85" zoomScalePageLayoutView="85" workbookViewId="0">
      <selection activeCell="A2" sqref="A2"/>
    </sheetView>
  </sheetViews>
  <sheetFormatPr defaultColWidth="8.7109375" defaultRowHeight="12.75" x14ac:dyDescent="0.2"/>
  <cols>
    <col min="1" max="1" width="133.42578125" style="158" customWidth="1"/>
    <col min="2" max="16384" width="8.7109375" style="158"/>
  </cols>
  <sheetData>
    <row r="1" spans="1:2" x14ac:dyDescent="0.2">
      <c r="A1" s="527"/>
      <c r="B1" s="528"/>
    </row>
    <row r="2" spans="1:2" x14ac:dyDescent="0.2">
      <c r="A2" s="529" t="s">
        <v>310</v>
      </c>
      <c r="B2" s="530"/>
    </row>
    <row r="3" spans="1:2" x14ac:dyDescent="0.2">
      <c r="A3" s="531"/>
      <c r="B3" s="530"/>
    </row>
    <row r="4" spans="1:2" x14ac:dyDescent="0.2">
      <c r="A4" s="532" t="s">
        <v>303</v>
      </c>
      <c r="B4" s="530"/>
    </row>
    <row r="5" spans="1:2" x14ac:dyDescent="0.2">
      <c r="A5" s="533" t="s">
        <v>419</v>
      </c>
      <c r="B5" s="530"/>
    </row>
    <row r="6" spans="1:2" x14ac:dyDescent="0.2">
      <c r="A6" s="531"/>
      <c r="B6" s="530"/>
    </row>
    <row r="7" spans="1:2" x14ac:dyDescent="0.2">
      <c r="A7" s="532" t="s">
        <v>304</v>
      </c>
      <c r="B7" s="530"/>
    </row>
    <row r="8" spans="1:2" x14ac:dyDescent="0.2">
      <c r="A8" s="534" t="s">
        <v>364</v>
      </c>
      <c r="B8" s="530"/>
    </row>
    <row r="9" spans="1:2" x14ac:dyDescent="0.2">
      <c r="A9" s="533" t="s">
        <v>420</v>
      </c>
      <c r="B9" s="530"/>
    </row>
    <row r="10" spans="1:2" x14ac:dyDescent="0.2">
      <c r="A10" s="533" t="s">
        <v>437</v>
      </c>
      <c r="B10" s="530"/>
    </row>
    <row r="11" spans="1:2" x14ac:dyDescent="0.2">
      <c r="A11" s="535" t="s">
        <v>305</v>
      </c>
      <c r="B11" s="530"/>
    </row>
    <row r="12" spans="1:2" x14ac:dyDescent="0.2">
      <c r="A12" s="536" t="s">
        <v>365</v>
      </c>
      <c r="B12" s="530"/>
    </row>
    <row r="13" spans="1:2" x14ac:dyDescent="0.2">
      <c r="A13" s="536" t="s">
        <v>361</v>
      </c>
      <c r="B13" s="530"/>
    </row>
    <row r="14" spans="1:2" x14ac:dyDescent="0.2">
      <c r="A14" s="537" t="s">
        <v>306</v>
      </c>
      <c r="B14" s="530"/>
    </row>
    <row r="15" spans="1:2" x14ac:dyDescent="0.2">
      <c r="A15" s="538" t="s">
        <v>421</v>
      </c>
      <c r="B15" s="539"/>
    </row>
  </sheetData>
  <sheetProtection password="F862" sheet="1" objects="1" scenarios="1"/>
  <customSheetViews>
    <customSheetView guid="{6B129A8F-21F1-407F-BF03-B1785CB23E02}" scale="85" fitToPage="1">
      <selection activeCell="A6" sqref="A6"/>
      <pageMargins left="0.70866141732283472" right="0.70866141732283472" top="0.74803149606299213" bottom="0.74803149606299213" header="0.31496062992125984" footer="0.31496062992125984"/>
      <pageSetup paperSize="9" scale="62" orientation="portrait" r:id="rId1"/>
      <headerFooter>
        <oddHeader>&amp;CLincolnshire County Council
2014/15 Hospital Schools Funding Formula</oddHeader>
        <oddFooter>&amp;CSummary</oddFooter>
      </headerFooter>
    </customSheetView>
  </customSheetViews>
  <phoneticPr fontId="60" type="noConversion"/>
  <pageMargins left="0.70866141732283472" right="0.70866141732283472" top="0.74803149606299213" bottom="0.74803149606299213" header="0.31496062992125984" footer="0.31496062992125984"/>
  <pageSetup paperSize="9" scale="62" orientation="portrait" r:id="rId2"/>
  <headerFooter>
    <oddHeader xml:space="preserve">&amp;CLincolnshire County Council
</oddHeader>
    <oddFooter>&amp;C2020/21 Ash Villa Funding Formula
Front Sheet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0"/>
  <sheetViews>
    <sheetView workbookViewId="0">
      <selection sqref="A1:XFD1048576"/>
    </sheetView>
  </sheetViews>
  <sheetFormatPr defaultColWidth="10.28515625" defaultRowHeight="12.75" x14ac:dyDescent="0.2"/>
  <cols>
    <col min="1" max="1" width="9.140625" style="38" customWidth="1"/>
    <col min="2" max="2" width="26.7109375" style="38" customWidth="1"/>
    <col min="3" max="3" width="6.28515625" style="38" bestFit="1" customWidth="1"/>
    <col min="4" max="13" width="10.28515625" style="38" customWidth="1"/>
    <col min="14" max="19" width="10.28515625" style="44" customWidth="1"/>
    <col min="20" max="21" width="10.28515625" style="198" customWidth="1"/>
    <col min="22" max="22" width="10.28515625" style="38" customWidth="1"/>
    <col min="23" max="16384" width="10.28515625" style="38"/>
  </cols>
  <sheetData>
    <row r="1" spans="1:23" x14ac:dyDescent="0.2">
      <c r="A1" s="68" t="s">
        <v>97</v>
      </c>
      <c r="C1" s="37"/>
    </row>
    <row r="2" spans="1:23" x14ac:dyDescent="0.2">
      <c r="A2" s="82" t="s">
        <v>202</v>
      </c>
      <c r="C2" s="52"/>
      <c r="K2" s="152" t="s">
        <v>207</v>
      </c>
      <c r="L2" s="152"/>
      <c r="M2" s="152"/>
      <c r="N2" s="193"/>
      <c r="O2" s="193"/>
      <c r="P2" s="193"/>
      <c r="Q2" s="193"/>
      <c r="R2" s="193"/>
      <c r="S2" s="193"/>
      <c r="T2" s="199"/>
      <c r="U2" s="199"/>
    </row>
    <row r="3" spans="1:23" x14ac:dyDescent="0.2">
      <c r="B3" s="39"/>
      <c r="C3" s="39"/>
      <c r="K3" s="147"/>
      <c r="L3" s="147"/>
      <c r="M3" s="147"/>
    </row>
    <row r="4" spans="1:23" ht="38.25" x14ac:dyDescent="0.2">
      <c r="A4" s="239" t="s">
        <v>268</v>
      </c>
      <c r="B4" s="40" t="s">
        <v>66</v>
      </c>
      <c r="C4" s="41" t="s">
        <v>52</v>
      </c>
      <c r="D4" s="38" t="s">
        <v>346</v>
      </c>
      <c r="E4" s="38" t="s">
        <v>347</v>
      </c>
      <c r="F4" s="38" t="s">
        <v>348</v>
      </c>
      <c r="G4" s="38" t="s">
        <v>349</v>
      </c>
      <c r="H4" s="38" t="s">
        <v>350</v>
      </c>
      <c r="I4" s="53" t="s">
        <v>226</v>
      </c>
      <c r="J4" s="53" t="s">
        <v>227</v>
      </c>
      <c r="K4" s="53" t="s">
        <v>231</v>
      </c>
      <c r="L4" s="53" t="s">
        <v>228</v>
      </c>
      <c r="M4" s="53" t="s">
        <v>229</v>
      </c>
      <c r="N4" s="196" t="s">
        <v>230</v>
      </c>
      <c r="O4" s="147" t="s">
        <v>226</v>
      </c>
      <c r="P4" s="147" t="s">
        <v>227</v>
      </c>
      <c r="Q4" s="147" t="s">
        <v>232</v>
      </c>
      <c r="R4" s="147" t="s">
        <v>228</v>
      </c>
      <c r="S4" s="147" t="s">
        <v>229</v>
      </c>
      <c r="T4" s="196" t="s">
        <v>233</v>
      </c>
      <c r="U4" s="196" t="s">
        <v>234</v>
      </c>
      <c r="V4" s="53" t="s">
        <v>235</v>
      </c>
      <c r="W4" s="53" t="s">
        <v>149</v>
      </c>
    </row>
    <row r="5" spans="1:23" hidden="1" x14ac:dyDescent="0.2">
      <c r="A5" s="241">
        <v>9257010</v>
      </c>
      <c r="B5" s="42" t="s">
        <v>67</v>
      </c>
      <c r="C5" s="43">
        <v>3</v>
      </c>
      <c r="D5" s="54">
        <f>'Revised Band Returns'!F5</f>
        <v>0.30952380952380953</v>
      </c>
      <c r="E5" s="54">
        <f>'Revised Band Returns'!H5</f>
        <v>0.5</v>
      </c>
      <c r="F5" s="54">
        <f>'Revised Band Returns'!J5</f>
        <v>0</v>
      </c>
      <c r="G5" s="54">
        <f>'Revised Band Returns'!L5</f>
        <v>4.7619047619047616E-2</v>
      </c>
      <c r="H5" s="54">
        <f>'Revised Band Returns'!N5</f>
        <v>0.14285714285714285</v>
      </c>
      <c r="I5" s="191">
        <v>29</v>
      </c>
      <c r="J5" s="191">
        <v>14</v>
      </c>
      <c r="K5" s="192">
        <f>SUM(I5:J5)</f>
        <v>43</v>
      </c>
      <c r="L5" s="84">
        <f>((((I5*D5)*$G$31)+((I5*E5)*$G$33)+((I5*F5)*$G$35)+((I5*G5)*$G$37)+((I5*H5)*$G$39)+((I5*H5)*$G$41)))*(5/12)</f>
        <v>119594.99352164795</v>
      </c>
      <c r="M5" s="84">
        <f>((((J5*D5)*$G$31)+((J5*E5)*$G$33)+((J5*F5)*$G$35)+((J5*G5)*$G$37)+((J5*H5)*$G$39)+((J5*H5)*$G$41)))*(5/12)</f>
        <v>57735.514113899037</v>
      </c>
      <c r="N5" s="197">
        <f>SUM(L5:M5)</f>
        <v>177330.50763554699</v>
      </c>
      <c r="O5" s="195">
        <v>35</v>
      </c>
      <c r="P5" s="195">
        <v>8</v>
      </c>
      <c r="Q5" s="195">
        <f>SUM(O5:P5)</f>
        <v>43</v>
      </c>
      <c r="R5" s="84">
        <f>((((O5*D5)*$G$31)+((O5*E5)*$G$33)+((O5*F5)*$G$35)+((O5*G5)*$G$37)+((O5*H5)*$G$39)+((O5*H5)*$G$41)))*(7/12)</f>
        <v>202074.2993986466</v>
      </c>
      <c r="S5" s="84">
        <f>((((P5*D5)*$G$31)+((P5*E5)*$G$33)+((P5*F5)*$G$35)+((P5*G5)*$G$37)+((P5*H5)*$G$39)+((P5*H5)*$G$41)))*(7/12)</f>
        <v>46188.411291119228</v>
      </c>
      <c r="T5" s="200">
        <f>SUM(R5:S5)</f>
        <v>248262.71068976584</v>
      </c>
      <c r="U5" s="200">
        <f>N5+T5</f>
        <v>425593.21832531283</v>
      </c>
      <c r="V5" s="187">
        <f>((5/12)*K5)+((7/12)*Q5)</f>
        <v>43</v>
      </c>
      <c r="W5" s="148">
        <f>U5/V5</f>
        <v>9897.5167052398338</v>
      </c>
    </row>
    <row r="6" spans="1:23" hidden="1" x14ac:dyDescent="0.2">
      <c r="A6" s="241">
        <v>9257005</v>
      </c>
      <c r="B6" s="42" t="s">
        <v>68</v>
      </c>
      <c r="C6" s="43">
        <v>3</v>
      </c>
      <c r="D6" s="54">
        <f>'Revised Band Returns'!F6</f>
        <v>0.1206896551724138</v>
      </c>
      <c r="E6" s="54">
        <f>'Revised Band Returns'!H6</f>
        <v>0.39655172413793105</v>
      </c>
      <c r="F6" s="54">
        <f>'Revised Band Returns'!J6</f>
        <v>0.27586206896551724</v>
      </c>
      <c r="G6" s="54">
        <f>'Revised Band Returns'!L6</f>
        <v>8.6206896551724144E-2</v>
      </c>
      <c r="H6" s="54">
        <f>'Revised Band Returns'!N6</f>
        <v>0.1206896551724138</v>
      </c>
      <c r="I6" s="191">
        <v>38</v>
      </c>
      <c r="J6" s="191">
        <v>25</v>
      </c>
      <c r="K6" s="192">
        <f t="shared" ref="K6:K25" si="0">SUM(I6:J6)</f>
        <v>63</v>
      </c>
      <c r="L6" s="84">
        <f t="shared" ref="L6:L25" si="1">((((I6*D6)*$G$31)+((I6*E6)*$G$33)+((I6*F6)*$G$35)+((I6*G6)*$G$37)+((I6*H6)*$G$39)+((I6*H6)*$G$41)))*(5/12)</f>
        <v>139100.36057828771</v>
      </c>
      <c r="M6" s="84">
        <f t="shared" ref="M6:M25" si="2">((((J6*D6)*$G$31)+((J6*E6)*$G$33)+((J6*F6)*$G$35)+((J6*G6)*$G$37)+((J6*H6)*$G$39)+((J6*H6)*$G$41)))*(5/12)</f>
        <v>91513.395117294538</v>
      </c>
      <c r="N6" s="197">
        <f t="shared" ref="N6:N25" si="3">SUM(L6:M6)</f>
        <v>230613.75569558225</v>
      </c>
      <c r="O6" s="195">
        <v>38</v>
      </c>
      <c r="P6" s="195">
        <v>25</v>
      </c>
      <c r="Q6" s="195">
        <f t="shared" ref="Q6:Q25" si="4">SUM(O6:P6)</f>
        <v>63</v>
      </c>
      <c r="R6" s="84">
        <f t="shared" ref="R6:R25" si="5">((((O6*D6)*$G$31)+((O6*E6)*$G$33)+((O6*F6)*$G$35)+((O6*G6)*$G$37)+((O6*H6)*$G$39)+((O6*H6)*$G$41)))*(7/12)</f>
        <v>194740.5048096028</v>
      </c>
      <c r="S6" s="84">
        <f t="shared" ref="S6:S25" si="6">((((P6*D6)*$G$31)+((P6*E6)*$G$33)+((P6*F6)*$G$35)+((P6*G6)*$G$37)+((P6*H6)*$G$39)+((P6*H6)*$G$41)))*(7/12)</f>
        <v>128118.75316421235</v>
      </c>
      <c r="T6" s="200">
        <f t="shared" ref="T6:T25" si="7">SUM(R6:S6)</f>
        <v>322859.25797381514</v>
      </c>
      <c r="U6" s="200">
        <f t="shared" ref="U6:U25" si="8">N6+T6</f>
        <v>553473.01366939745</v>
      </c>
      <c r="V6" s="187">
        <f t="shared" ref="V6:V25" si="9">((5/12)*K6)+((7/12)*Q6)</f>
        <v>63</v>
      </c>
      <c r="W6" s="148">
        <f t="shared" ref="W6:W25" si="10">U6/V6</f>
        <v>8785.2859312602777</v>
      </c>
    </row>
    <row r="7" spans="1:23" hidden="1" x14ac:dyDescent="0.2">
      <c r="A7" s="241">
        <v>9257025</v>
      </c>
      <c r="B7" s="42" t="s">
        <v>69</v>
      </c>
      <c r="C7" s="43">
        <v>3</v>
      </c>
      <c r="D7" s="54">
        <f>'Revised Band Returns'!F7</f>
        <v>0.32608695652173914</v>
      </c>
      <c r="E7" s="54">
        <f>'Revised Band Returns'!H7</f>
        <v>0.34782608695652173</v>
      </c>
      <c r="F7" s="54">
        <f>'Revised Band Returns'!J7</f>
        <v>0</v>
      </c>
      <c r="G7" s="54">
        <f>'Revised Band Returns'!L7</f>
        <v>4.3478260869565216E-2</v>
      </c>
      <c r="H7" s="54">
        <f>'Revised Band Returns'!N7</f>
        <v>0.28260869565217389</v>
      </c>
      <c r="I7" s="191">
        <v>41</v>
      </c>
      <c r="J7" s="191">
        <v>12</v>
      </c>
      <c r="K7" s="192">
        <f t="shared" si="0"/>
        <v>53</v>
      </c>
      <c r="L7" s="84">
        <f t="shared" si="1"/>
        <v>186660.86075141121</v>
      </c>
      <c r="M7" s="84">
        <f t="shared" si="2"/>
        <v>54632.447049193535</v>
      </c>
      <c r="N7" s="197">
        <f t="shared" si="3"/>
        <v>241293.30780060473</v>
      </c>
      <c r="O7" s="195">
        <v>39</v>
      </c>
      <c r="P7" s="195">
        <v>14</v>
      </c>
      <c r="Q7" s="195">
        <f t="shared" si="4"/>
        <v>53</v>
      </c>
      <c r="R7" s="84">
        <f t="shared" si="5"/>
        <v>248577.63407383056</v>
      </c>
      <c r="S7" s="84">
        <f t="shared" si="6"/>
        <v>89232.996847016097</v>
      </c>
      <c r="T7" s="200">
        <f t="shared" si="7"/>
        <v>337810.63092084666</v>
      </c>
      <c r="U7" s="200">
        <f t="shared" si="8"/>
        <v>579103.93872145144</v>
      </c>
      <c r="V7" s="187">
        <f t="shared" si="9"/>
        <v>53</v>
      </c>
      <c r="W7" s="148">
        <f t="shared" si="10"/>
        <v>10926.489409838707</v>
      </c>
    </row>
    <row r="8" spans="1:23" hidden="1" x14ac:dyDescent="0.2">
      <c r="A8" s="241">
        <v>9257011</v>
      </c>
      <c r="B8" s="42" t="s">
        <v>70</v>
      </c>
      <c r="C8" s="43">
        <v>3</v>
      </c>
      <c r="D8" s="54">
        <f>'Revised Band Returns'!F8</f>
        <v>0.35</v>
      </c>
      <c r="E8" s="54">
        <f>'Revised Band Returns'!H8</f>
        <v>0.375</v>
      </c>
      <c r="F8" s="54">
        <f>'Revised Band Returns'!J8</f>
        <v>2.5000000000000001E-2</v>
      </c>
      <c r="G8" s="54">
        <f>'Revised Band Returns'!L8</f>
        <v>2.5000000000000001E-2</v>
      </c>
      <c r="H8" s="54">
        <f>'Revised Band Returns'!N8</f>
        <v>0.22500000000000001</v>
      </c>
      <c r="I8" s="191">
        <v>38</v>
      </c>
      <c r="J8" s="191">
        <v>3</v>
      </c>
      <c r="K8" s="192">
        <f t="shared" si="0"/>
        <v>41</v>
      </c>
      <c r="L8" s="84">
        <f t="shared" si="1"/>
        <v>166574.49625527041</v>
      </c>
      <c r="M8" s="84">
        <f t="shared" si="2"/>
        <v>13150.618125416086</v>
      </c>
      <c r="N8" s="197">
        <f t="shared" si="3"/>
        <v>179725.11438068649</v>
      </c>
      <c r="O8" s="195">
        <v>39</v>
      </c>
      <c r="P8" s="195">
        <v>2</v>
      </c>
      <c r="Q8" s="195">
        <f t="shared" si="4"/>
        <v>41</v>
      </c>
      <c r="R8" s="84">
        <f t="shared" si="5"/>
        <v>239341.24988257277</v>
      </c>
      <c r="S8" s="84">
        <f t="shared" si="6"/>
        <v>12273.910250388348</v>
      </c>
      <c r="T8" s="200">
        <f t="shared" si="7"/>
        <v>251615.16013296111</v>
      </c>
      <c r="U8" s="200">
        <f t="shared" si="8"/>
        <v>431340.2745136476</v>
      </c>
      <c r="V8" s="187">
        <f t="shared" si="9"/>
        <v>41</v>
      </c>
      <c r="W8" s="148">
        <f t="shared" si="10"/>
        <v>10520.494500332868</v>
      </c>
    </row>
    <row r="9" spans="1:23" hidden="1" x14ac:dyDescent="0.2">
      <c r="A9" s="241">
        <v>9257024</v>
      </c>
      <c r="B9" s="42" t="s">
        <v>71</v>
      </c>
      <c r="C9" s="43">
        <v>3</v>
      </c>
      <c r="D9" s="54">
        <f>'Revised Band Returns'!F9</f>
        <v>0.15217391304347827</v>
      </c>
      <c r="E9" s="54">
        <f>'Revised Band Returns'!H9</f>
        <v>0.65217391304347827</v>
      </c>
      <c r="F9" s="54">
        <f>'Revised Band Returns'!J9</f>
        <v>2.1739130434782608E-2</v>
      </c>
      <c r="G9" s="54">
        <f>'Revised Band Returns'!L9</f>
        <v>0.15217391304347827</v>
      </c>
      <c r="H9" s="54">
        <f>'Revised Band Returns'!N9</f>
        <v>2.1739130434782608E-2</v>
      </c>
      <c r="I9" s="191">
        <v>38</v>
      </c>
      <c r="J9" s="191">
        <v>9</v>
      </c>
      <c r="K9" s="192">
        <f t="shared" si="0"/>
        <v>47</v>
      </c>
      <c r="L9" s="84">
        <f t="shared" si="1"/>
        <v>139320.71497922856</v>
      </c>
      <c r="M9" s="84">
        <f t="shared" si="2"/>
        <v>32997.011442448857</v>
      </c>
      <c r="N9" s="197">
        <f t="shared" si="3"/>
        <v>172317.72642167742</v>
      </c>
      <c r="O9" s="195">
        <v>36</v>
      </c>
      <c r="P9" s="195">
        <v>11</v>
      </c>
      <c r="Q9" s="195">
        <f t="shared" si="4"/>
        <v>47</v>
      </c>
      <c r="R9" s="84">
        <f t="shared" si="5"/>
        <v>184783.2640777136</v>
      </c>
      <c r="S9" s="84">
        <f t="shared" si="6"/>
        <v>56461.552912634725</v>
      </c>
      <c r="T9" s="200">
        <f t="shared" si="7"/>
        <v>241244.81699034834</v>
      </c>
      <c r="U9" s="200">
        <f t="shared" si="8"/>
        <v>413562.54341202579</v>
      </c>
      <c r="V9" s="187">
        <f t="shared" si="9"/>
        <v>47</v>
      </c>
      <c r="W9" s="148">
        <f t="shared" si="10"/>
        <v>8799.2030513196969</v>
      </c>
    </row>
    <row r="10" spans="1:23" hidden="1" x14ac:dyDescent="0.2">
      <c r="A10" s="241">
        <v>9257031</v>
      </c>
      <c r="B10" s="42" t="s">
        <v>98</v>
      </c>
      <c r="C10" s="43">
        <v>3</v>
      </c>
      <c r="D10" s="54">
        <f>'Revised Band Returns'!F10</f>
        <v>0</v>
      </c>
      <c r="E10" s="54">
        <f>'Revised Band Returns'!H10</f>
        <v>0</v>
      </c>
      <c r="F10" s="54">
        <f>'Revised Band Returns'!J10</f>
        <v>0</v>
      </c>
      <c r="G10" s="54">
        <f>'Revised Band Returns'!L10</f>
        <v>0</v>
      </c>
      <c r="H10" s="54">
        <f>'Revised Band Returns'!N10</f>
        <v>1</v>
      </c>
      <c r="I10" s="191">
        <v>61</v>
      </c>
      <c r="J10" s="191">
        <v>0</v>
      </c>
      <c r="K10" s="192">
        <f t="shared" si="0"/>
        <v>61</v>
      </c>
      <c r="L10" s="84">
        <f t="shared" si="1"/>
        <v>364146.32506795577</v>
      </c>
      <c r="M10" s="84">
        <f t="shared" si="2"/>
        <v>0</v>
      </c>
      <c r="N10" s="197">
        <f t="shared" si="3"/>
        <v>364146.32506795577</v>
      </c>
      <c r="O10" s="195">
        <v>61</v>
      </c>
      <c r="P10" s="195">
        <v>0</v>
      </c>
      <c r="Q10" s="195">
        <f t="shared" si="4"/>
        <v>61</v>
      </c>
      <c r="R10" s="84">
        <f t="shared" si="5"/>
        <v>509804.85509513813</v>
      </c>
      <c r="S10" s="84">
        <f t="shared" si="6"/>
        <v>0</v>
      </c>
      <c r="T10" s="200">
        <f t="shared" si="7"/>
        <v>509804.85509513813</v>
      </c>
      <c r="U10" s="200">
        <f t="shared" si="8"/>
        <v>873951.18016309384</v>
      </c>
      <c r="V10" s="187">
        <f t="shared" si="9"/>
        <v>61</v>
      </c>
      <c r="W10" s="148">
        <f t="shared" si="10"/>
        <v>14327.068527263833</v>
      </c>
    </row>
    <row r="11" spans="1:23" hidden="1" x14ac:dyDescent="0.2">
      <c r="A11" s="241">
        <v>9257033</v>
      </c>
      <c r="B11" s="42" t="s">
        <v>72</v>
      </c>
      <c r="C11" s="43">
        <v>3</v>
      </c>
      <c r="D11" s="54">
        <f>'Revised Band Returns'!F11</f>
        <v>8.6956521739130432E-2</v>
      </c>
      <c r="E11" s="54">
        <f>'Revised Band Returns'!H11</f>
        <v>0.21739130434782608</v>
      </c>
      <c r="F11" s="54">
        <f>'Revised Band Returns'!J11</f>
        <v>0.5</v>
      </c>
      <c r="G11" s="54">
        <f>'Revised Band Returns'!L11</f>
        <v>4.3478260869565216E-2</v>
      </c>
      <c r="H11" s="54">
        <f>'Revised Band Returns'!N11</f>
        <v>0.15217391304347827</v>
      </c>
      <c r="I11" s="191">
        <v>60</v>
      </c>
      <c r="J11" s="191">
        <v>0</v>
      </c>
      <c r="K11" s="192">
        <f t="shared" si="0"/>
        <v>60</v>
      </c>
      <c r="L11" s="84">
        <f t="shared" si="1"/>
        <v>210624.28604617293</v>
      </c>
      <c r="M11" s="84">
        <f t="shared" si="2"/>
        <v>0</v>
      </c>
      <c r="N11" s="197">
        <f t="shared" si="3"/>
        <v>210624.28604617293</v>
      </c>
      <c r="O11" s="195">
        <v>60</v>
      </c>
      <c r="P11" s="195">
        <v>0</v>
      </c>
      <c r="Q11" s="195">
        <f t="shared" si="4"/>
        <v>60</v>
      </c>
      <c r="R11" s="84">
        <f t="shared" si="5"/>
        <v>294874.00046464213</v>
      </c>
      <c r="S11" s="84">
        <f t="shared" si="6"/>
        <v>0</v>
      </c>
      <c r="T11" s="200">
        <f t="shared" si="7"/>
        <v>294874.00046464213</v>
      </c>
      <c r="U11" s="200">
        <f t="shared" si="8"/>
        <v>505498.28651081503</v>
      </c>
      <c r="V11" s="187">
        <f t="shared" si="9"/>
        <v>60</v>
      </c>
      <c r="W11" s="148">
        <f t="shared" si="10"/>
        <v>8424.9714418469175</v>
      </c>
    </row>
    <row r="12" spans="1:23" hidden="1" x14ac:dyDescent="0.2">
      <c r="A12" s="241">
        <v>9257008</v>
      </c>
      <c r="B12" s="42" t="s">
        <v>73</v>
      </c>
      <c r="C12" s="43">
        <v>3</v>
      </c>
      <c r="D12" s="54">
        <f>'Revised Band Returns'!F12</f>
        <v>0</v>
      </c>
      <c r="E12" s="54">
        <f>'Revised Band Returns'!H12</f>
        <v>0.10526315789473684</v>
      </c>
      <c r="F12" s="54">
        <f>'Revised Band Returns'!J12</f>
        <v>0.55263157894736847</v>
      </c>
      <c r="G12" s="54">
        <f>'Revised Band Returns'!L12</f>
        <v>1.3157894736842105E-2</v>
      </c>
      <c r="H12" s="54">
        <f>'Revised Band Returns'!N12</f>
        <v>0.32894736842105265</v>
      </c>
      <c r="I12" s="191">
        <v>84</v>
      </c>
      <c r="J12" s="191">
        <v>0</v>
      </c>
      <c r="K12" s="192">
        <f t="shared" si="0"/>
        <v>84</v>
      </c>
      <c r="L12" s="84">
        <f t="shared" si="1"/>
        <v>318180.53201804025</v>
      </c>
      <c r="M12" s="84">
        <f t="shared" si="2"/>
        <v>0</v>
      </c>
      <c r="N12" s="197">
        <f t="shared" si="3"/>
        <v>318180.53201804025</v>
      </c>
      <c r="O12" s="195">
        <v>84</v>
      </c>
      <c r="P12" s="195">
        <v>0</v>
      </c>
      <c r="Q12" s="195">
        <f t="shared" si="4"/>
        <v>84</v>
      </c>
      <c r="R12" s="84">
        <f t="shared" si="5"/>
        <v>445452.74482525635</v>
      </c>
      <c r="S12" s="84">
        <f t="shared" si="6"/>
        <v>0</v>
      </c>
      <c r="T12" s="200">
        <f t="shared" si="7"/>
        <v>445452.74482525635</v>
      </c>
      <c r="U12" s="200">
        <f t="shared" si="8"/>
        <v>763633.2768432966</v>
      </c>
      <c r="V12" s="187">
        <f t="shared" si="9"/>
        <v>84</v>
      </c>
      <c r="W12" s="148">
        <f t="shared" si="10"/>
        <v>9090.8723433725791</v>
      </c>
    </row>
    <row r="13" spans="1:23" hidden="1" x14ac:dyDescent="0.2">
      <c r="A13" s="241">
        <v>9257034</v>
      </c>
      <c r="B13" s="42" t="s">
        <v>74</v>
      </c>
      <c r="C13" s="43">
        <v>4</v>
      </c>
      <c r="D13" s="54">
        <f>'Revised Band Returns'!F13</f>
        <v>5.3571428571428568E-2</v>
      </c>
      <c r="E13" s="54">
        <f>'Revised Band Returns'!H13</f>
        <v>7.1428571428571425E-2</v>
      </c>
      <c r="F13" s="54">
        <f>'Revised Band Returns'!J13</f>
        <v>0.6696428571428571</v>
      </c>
      <c r="G13" s="54">
        <f>'Revised Band Returns'!L13</f>
        <v>2.6785714285714284E-2</v>
      </c>
      <c r="H13" s="54">
        <f>'Revised Band Returns'!N13</f>
        <v>0.17857142857142858</v>
      </c>
      <c r="I13" s="191">
        <v>82</v>
      </c>
      <c r="J13" s="191">
        <v>27</v>
      </c>
      <c r="K13" s="192">
        <f t="shared" si="0"/>
        <v>109</v>
      </c>
      <c r="L13" s="84">
        <f t="shared" si="1"/>
        <v>280303.95224728779</v>
      </c>
      <c r="M13" s="84">
        <f t="shared" si="2"/>
        <v>92295.203788741113</v>
      </c>
      <c r="N13" s="197">
        <f t="shared" si="3"/>
        <v>372599.15603602887</v>
      </c>
      <c r="O13" s="195">
        <v>78</v>
      </c>
      <c r="P13" s="195">
        <v>31</v>
      </c>
      <c r="Q13" s="195">
        <f t="shared" si="4"/>
        <v>109</v>
      </c>
      <c r="R13" s="84">
        <f t="shared" si="5"/>
        <v>373282.8242122418</v>
      </c>
      <c r="S13" s="84">
        <f t="shared" si="6"/>
        <v>148355.99423819865</v>
      </c>
      <c r="T13" s="200">
        <f t="shared" si="7"/>
        <v>521638.81845044042</v>
      </c>
      <c r="U13" s="200">
        <f t="shared" si="8"/>
        <v>894237.97448646929</v>
      </c>
      <c r="V13" s="187">
        <f t="shared" si="9"/>
        <v>109</v>
      </c>
      <c r="W13" s="148">
        <f t="shared" si="10"/>
        <v>8204.0181145547649</v>
      </c>
    </row>
    <row r="14" spans="1:23" hidden="1" x14ac:dyDescent="0.2">
      <c r="A14" s="241">
        <v>9257002</v>
      </c>
      <c r="B14" s="42" t="s">
        <v>75</v>
      </c>
      <c r="C14" s="43">
        <v>4</v>
      </c>
      <c r="D14" s="54">
        <f>'Revised Band Returns'!F14</f>
        <v>1.6260162601626018E-2</v>
      </c>
      <c r="E14" s="54">
        <f>'Revised Band Returns'!H14</f>
        <v>0.25203252032520324</v>
      </c>
      <c r="F14" s="54">
        <f>'Revised Band Returns'!J14</f>
        <v>0.64227642276422769</v>
      </c>
      <c r="G14" s="54">
        <f>'Revised Band Returns'!L14</f>
        <v>0</v>
      </c>
      <c r="H14" s="54">
        <f>'Revised Band Returns'!N14</f>
        <v>8.943089430894309E-2</v>
      </c>
      <c r="I14" s="191">
        <v>130</v>
      </c>
      <c r="J14" s="191">
        <v>0</v>
      </c>
      <c r="K14" s="192">
        <f t="shared" si="0"/>
        <v>130</v>
      </c>
      <c r="L14" s="84">
        <f t="shared" si="1"/>
        <v>397262.04589398362</v>
      </c>
      <c r="M14" s="84">
        <f t="shared" si="2"/>
        <v>0</v>
      </c>
      <c r="N14" s="197">
        <f t="shared" si="3"/>
        <v>397262.04589398362</v>
      </c>
      <c r="O14" s="195">
        <v>130</v>
      </c>
      <c r="P14" s="195">
        <v>0</v>
      </c>
      <c r="Q14" s="195">
        <f t="shared" si="4"/>
        <v>130</v>
      </c>
      <c r="R14" s="84">
        <f t="shared" si="5"/>
        <v>556166.86425157706</v>
      </c>
      <c r="S14" s="84">
        <f t="shared" si="6"/>
        <v>0</v>
      </c>
      <c r="T14" s="200">
        <f t="shared" si="7"/>
        <v>556166.86425157706</v>
      </c>
      <c r="U14" s="200">
        <f t="shared" si="8"/>
        <v>953428.91014556075</v>
      </c>
      <c r="V14" s="187">
        <f t="shared" si="9"/>
        <v>130</v>
      </c>
      <c r="W14" s="148">
        <f t="shared" si="10"/>
        <v>7334.0685395812361</v>
      </c>
    </row>
    <row r="15" spans="1:23" hidden="1" x14ac:dyDescent="0.2">
      <c r="A15" s="241">
        <v>9257009</v>
      </c>
      <c r="B15" s="42" t="s">
        <v>76</v>
      </c>
      <c r="C15" s="43">
        <v>4</v>
      </c>
      <c r="D15" s="54">
        <f>'Revised Band Returns'!F15</f>
        <v>0</v>
      </c>
      <c r="E15" s="54">
        <f>'Revised Band Returns'!H15</f>
        <v>0.192</v>
      </c>
      <c r="F15" s="54">
        <f>'Revised Band Returns'!J15</f>
        <v>0.66400000000000003</v>
      </c>
      <c r="G15" s="54">
        <f>'Revised Band Returns'!L15</f>
        <v>0</v>
      </c>
      <c r="H15" s="54">
        <f>'Revised Band Returns'!N15</f>
        <v>0.14399999999999999</v>
      </c>
      <c r="I15" s="191">
        <v>131</v>
      </c>
      <c r="J15" s="191">
        <v>0</v>
      </c>
      <c r="K15" s="192">
        <f t="shared" si="0"/>
        <v>131</v>
      </c>
      <c r="L15" s="84">
        <f t="shared" si="1"/>
        <v>415933.63426517654</v>
      </c>
      <c r="M15" s="84">
        <f t="shared" si="2"/>
        <v>0</v>
      </c>
      <c r="N15" s="197">
        <f t="shared" si="3"/>
        <v>415933.63426517654</v>
      </c>
      <c r="O15" s="195">
        <v>131</v>
      </c>
      <c r="P15" s="195">
        <v>0</v>
      </c>
      <c r="Q15" s="195">
        <f t="shared" si="4"/>
        <v>131</v>
      </c>
      <c r="R15" s="84">
        <f t="shared" si="5"/>
        <v>582307.08797124715</v>
      </c>
      <c r="S15" s="84">
        <f t="shared" si="6"/>
        <v>0</v>
      </c>
      <c r="T15" s="200">
        <f t="shared" si="7"/>
        <v>582307.08797124715</v>
      </c>
      <c r="U15" s="200">
        <f t="shared" si="8"/>
        <v>998240.72223642375</v>
      </c>
      <c r="V15" s="187">
        <f t="shared" si="9"/>
        <v>131</v>
      </c>
      <c r="W15" s="148">
        <f t="shared" si="10"/>
        <v>7620.1581850108687</v>
      </c>
    </row>
    <row r="16" spans="1:23" hidden="1" x14ac:dyDescent="0.2">
      <c r="A16" s="241">
        <v>9257029</v>
      </c>
      <c r="B16" s="42" t="s">
        <v>99</v>
      </c>
      <c r="C16" s="43">
        <v>4</v>
      </c>
      <c r="D16" s="54">
        <f>'Revised Band Returns'!F16</f>
        <v>0</v>
      </c>
      <c r="E16" s="54">
        <f>'Revised Band Returns'!H16</f>
        <v>0</v>
      </c>
      <c r="F16" s="54">
        <f>'Revised Band Returns'!J16</f>
        <v>0</v>
      </c>
      <c r="G16" s="54">
        <f>'Revised Band Returns'!L16</f>
        <v>0</v>
      </c>
      <c r="H16" s="54">
        <f>'Revised Band Returns'!N16</f>
        <v>1</v>
      </c>
      <c r="I16" s="191">
        <v>62</v>
      </c>
      <c r="J16" s="191">
        <v>0</v>
      </c>
      <c r="K16" s="192">
        <f t="shared" si="0"/>
        <v>62</v>
      </c>
      <c r="L16" s="84">
        <f t="shared" si="1"/>
        <v>370115.93695431569</v>
      </c>
      <c r="M16" s="84">
        <f t="shared" si="2"/>
        <v>0</v>
      </c>
      <c r="N16" s="197">
        <f t="shared" si="3"/>
        <v>370115.93695431569</v>
      </c>
      <c r="O16" s="195">
        <v>62</v>
      </c>
      <c r="P16" s="195">
        <v>0</v>
      </c>
      <c r="Q16" s="195">
        <f t="shared" si="4"/>
        <v>62</v>
      </c>
      <c r="R16" s="84">
        <f t="shared" si="5"/>
        <v>518162.31173604203</v>
      </c>
      <c r="S16" s="84">
        <f t="shared" si="6"/>
        <v>0</v>
      </c>
      <c r="T16" s="200">
        <f t="shared" si="7"/>
        <v>518162.31173604203</v>
      </c>
      <c r="U16" s="200">
        <f t="shared" si="8"/>
        <v>888278.24869035766</v>
      </c>
      <c r="V16" s="187">
        <f t="shared" si="9"/>
        <v>62.000000000000007</v>
      </c>
      <c r="W16" s="148">
        <f t="shared" si="10"/>
        <v>14327.068527263831</v>
      </c>
    </row>
    <row r="17" spans="1:23" hidden="1" x14ac:dyDescent="0.2">
      <c r="A17" s="241">
        <v>9257032</v>
      </c>
      <c r="B17" s="42" t="s">
        <v>100</v>
      </c>
      <c r="C17" s="43">
        <v>4</v>
      </c>
      <c r="D17" s="54">
        <f>'Revised Band Returns'!F17</f>
        <v>0</v>
      </c>
      <c r="E17" s="54">
        <f>'Revised Band Returns'!H17</f>
        <v>0</v>
      </c>
      <c r="F17" s="54">
        <f>'Revised Band Returns'!J17</f>
        <v>0</v>
      </c>
      <c r="G17" s="54">
        <f>'Revised Band Returns'!L17</f>
        <v>0</v>
      </c>
      <c r="H17" s="54">
        <f>'Revised Band Returns'!N17</f>
        <v>1</v>
      </c>
      <c r="I17" s="191">
        <v>59</v>
      </c>
      <c r="J17" s="191">
        <v>0</v>
      </c>
      <c r="K17" s="192">
        <f t="shared" si="0"/>
        <v>59</v>
      </c>
      <c r="L17" s="84">
        <f t="shared" si="1"/>
        <v>352207.10129523586</v>
      </c>
      <c r="M17" s="84">
        <f t="shared" si="2"/>
        <v>0</v>
      </c>
      <c r="N17" s="197">
        <f t="shared" si="3"/>
        <v>352207.10129523586</v>
      </c>
      <c r="O17" s="195">
        <v>59</v>
      </c>
      <c r="P17" s="195">
        <v>0</v>
      </c>
      <c r="Q17" s="195">
        <f t="shared" si="4"/>
        <v>59</v>
      </c>
      <c r="R17" s="84">
        <f t="shared" si="5"/>
        <v>493089.94181333022</v>
      </c>
      <c r="S17" s="84">
        <f t="shared" si="6"/>
        <v>0</v>
      </c>
      <c r="T17" s="200">
        <f t="shared" si="7"/>
        <v>493089.94181333022</v>
      </c>
      <c r="U17" s="200">
        <f t="shared" si="8"/>
        <v>845297.04310856608</v>
      </c>
      <c r="V17" s="187">
        <f t="shared" si="9"/>
        <v>59.000000000000007</v>
      </c>
      <c r="W17" s="148">
        <f t="shared" si="10"/>
        <v>14327.068527263829</v>
      </c>
    </row>
    <row r="18" spans="1:23" hidden="1" x14ac:dyDescent="0.2">
      <c r="A18" s="241">
        <v>9257030</v>
      </c>
      <c r="B18" s="42" t="s">
        <v>92</v>
      </c>
      <c r="C18" s="43">
        <v>4</v>
      </c>
      <c r="D18" s="54">
        <f>'Revised Band Returns'!F18</f>
        <v>0</v>
      </c>
      <c r="E18" s="54">
        <f>'Revised Band Returns'!H18</f>
        <v>0</v>
      </c>
      <c r="F18" s="54">
        <f>'Revised Band Returns'!J18</f>
        <v>0</v>
      </c>
      <c r="G18" s="54">
        <f>'Revised Band Returns'!L18</f>
        <v>0</v>
      </c>
      <c r="H18" s="54">
        <f>'Revised Band Returns'!N18</f>
        <v>1</v>
      </c>
      <c r="I18" s="191">
        <v>55</v>
      </c>
      <c r="J18" s="191">
        <v>0</v>
      </c>
      <c r="K18" s="192">
        <f t="shared" si="0"/>
        <v>55</v>
      </c>
      <c r="L18" s="84">
        <f t="shared" si="1"/>
        <v>328328.65374979615</v>
      </c>
      <c r="M18" s="84">
        <f t="shared" si="2"/>
        <v>0</v>
      </c>
      <c r="N18" s="197">
        <f t="shared" si="3"/>
        <v>328328.65374979615</v>
      </c>
      <c r="O18" s="195">
        <v>55</v>
      </c>
      <c r="P18" s="195">
        <v>0</v>
      </c>
      <c r="Q18" s="195">
        <f t="shared" si="4"/>
        <v>55</v>
      </c>
      <c r="R18" s="84">
        <f t="shared" si="5"/>
        <v>459660.11524971464</v>
      </c>
      <c r="S18" s="84">
        <f t="shared" si="6"/>
        <v>0</v>
      </c>
      <c r="T18" s="200">
        <f t="shared" si="7"/>
        <v>459660.11524971464</v>
      </c>
      <c r="U18" s="200">
        <f t="shared" si="8"/>
        <v>787988.76899951079</v>
      </c>
      <c r="V18" s="187">
        <f t="shared" si="9"/>
        <v>55</v>
      </c>
      <c r="W18" s="148">
        <f t="shared" si="10"/>
        <v>14327.068527263833</v>
      </c>
    </row>
    <row r="19" spans="1:23" hidden="1" x14ac:dyDescent="0.2">
      <c r="A19" s="241">
        <v>9257028</v>
      </c>
      <c r="B19" s="42" t="s">
        <v>77</v>
      </c>
      <c r="C19" s="43">
        <v>4</v>
      </c>
      <c r="D19" s="54">
        <f>'Revised Band Returns'!F19</f>
        <v>0.25714285714285712</v>
      </c>
      <c r="E19" s="54">
        <f>'Revised Band Returns'!H19</f>
        <v>0.31428571428571428</v>
      </c>
      <c r="F19" s="54">
        <f>'Revised Band Returns'!J19</f>
        <v>5.7142857142857141E-2</v>
      </c>
      <c r="G19" s="54">
        <f>'Revised Band Returns'!L19</f>
        <v>0.15714285714285714</v>
      </c>
      <c r="H19" s="54">
        <f>'Revised Band Returns'!N19</f>
        <v>0.21428571428571427</v>
      </c>
      <c r="I19" s="191">
        <v>59</v>
      </c>
      <c r="J19" s="191">
        <v>14</v>
      </c>
      <c r="K19" s="192">
        <f t="shared" si="0"/>
        <v>73</v>
      </c>
      <c r="L19" s="84">
        <f t="shared" si="1"/>
        <v>260110.15586796915</v>
      </c>
      <c r="M19" s="84">
        <f t="shared" si="2"/>
        <v>61721.053934772346</v>
      </c>
      <c r="N19" s="197">
        <f t="shared" si="3"/>
        <v>321831.20980274148</v>
      </c>
      <c r="O19" s="195">
        <v>56</v>
      </c>
      <c r="P19" s="195">
        <v>17</v>
      </c>
      <c r="Q19" s="195">
        <f t="shared" si="4"/>
        <v>73</v>
      </c>
      <c r="R19" s="84">
        <f t="shared" si="5"/>
        <v>345637.90203472512</v>
      </c>
      <c r="S19" s="84">
        <f t="shared" si="6"/>
        <v>104925.79168911299</v>
      </c>
      <c r="T19" s="200">
        <f t="shared" si="7"/>
        <v>450563.69372383808</v>
      </c>
      <c r="U19" s="200">
        <f t="shared" si="8"/>
        <v>772394.9035265795</v>
      </c>
      <c r="V19" s="187">
        <f t="shared" si="9"/>
        <v>73</v>
      </c>
      <c r="W19" s="148">
        <f t="shared" si="10"/>
        <v>10580.752103103829</v>
      </c>
    </row>
    <row r="20" spans="1:23" hidden="1" x14ac:dyDescent="0.2">
      <c r="A20" s="241">
        <v>9257021</v>
      </c>
      <c r="B20" s="42" t="s">
        <v>78</v>
      </c>
      <c r="C20" s="43">
        <v>5</v>
      </c>
      <c r="D20" s="54">
        <f>'Revised Band Returns'!F20</f>
        <v>1.4598540145985401E-2</v>
      </c>
      <c r="E20" s="54">
        <f>'Revised Band Returns'!H20</f>
        <v>0.10948905109489052</v>
      </c>
      <c r="F20" s="54">
        <f>'Revised Band Returns'!J20</f>
        <v>0.74452554744525545</v>
      </c>
      <c r="G20" s="54">
        <f>'Revised Band Returns'!L20</f>
        <v>2.1897810218978103E-2</v>
      </c>
      <c r="H20" s="54">
        <f>'Revised Band Returns'!N20</f>
        <v>0.10948905109489052</v>
      </c>
      <c r="I20" s="191">
        <v>142</v>
      </c>
      <c r="J20" s="191">
        <v>0</v>
      </c>
      <c r="K20" s="192">
        <f t="shared" si="0"/>
        <v>142</v>
      </c>
      <c r="L20" s="84">
        <f t="shared" si="1"/>
        <v>440717.45291376894</v>
      </c>
      <c r="M20" s="84">
        <f t="shared" si="2"/>
        <v>0</v>
      </c>
      <c r="N20" s="197">
        <f t="shared" si="3"/>
        <v>440717.45291376894</v>
      </c>
      <c r="O20" s="195">
        <v>142</v>
      </c>
      <c r="P20" s="195">
        <v>0</v>
      </c>
      <c r="Q20" s="195">
        <f t="shared" si="4"/>
        <v>142</v>
      </c>
      <c r="R20" s="84">
        <f t="shared" si="5"/>
        <v>617004.43407927651</v>
      </c>
      <c r="S20" s="84">
        <f t="shared" si="6"/>
        <v>0</v>
      </c>
      <c r="T20" s="200">
        <f t="shared" si="7"/>
        <v>617004.43407927651</v>
      </c>
      <c r="U20" s="200">
        <f t="shared" si="8"/>
        <v>1057721.8869930455</v>
      </c>
      <c r="V20" s="187">
        <f t="shared" si="9"/>
        <v>142</v>
      </c>
      <c r="W20" s="148">
        <f t="shared" si="10"/>
        <v>7448.7456830496158</v>
      </c>
    </row>
    <row r="21" spans="1:23" hidden="1" x14ac:dyDescent="0.2">
      <c r="A21" s="241">
        <v>9257015</v>
      </c>
      <c r="B21" s="42" t="s">
        <v>57</v>
      </c>
      <c r="C21" s="43">
        <v>5</v>
      </c>
      <c r="D21" s="54">
        <f>'Revised Band Returns'!F21</f>
        <v>4.9723756906077346E-2</v>
      </c>
      <c r="E21" s="54">
        <f>'Revised Band Returns'!H21</f>
        <v>0.13812154696132597</v>
      </c>
      <c r="F21" s="54">
        <f>'Revised Band Returns'!J21</f>
        <v>0.71823204419889508</v>
      </c>
      <c r="G21" s="54">
        <f>'Revised Band Returns'!L21</f>
        <v>1.1049723756906077E-2</v>
      </c>
      <c r="H21" s="54">
        <f>'Revised Band Returns'!N21</f>
        <v>8.2872928176795577E-2</v>
      </c>
      <c r="I21" s="191">
        <v>211</v>
      </c>
      <c r="J21" s="191">
        <v>0</v>
      </c>
      <c r="K21" s="192">
        <f t="shared" si="0"/>
        <v>211</v>
      </c>
      <c r="L21" s="84">
        <f t="shared" si="1"/>
        <v>650367.66436397668</v>
      </c>
      <c r="M21" s="84">
        <f t="shared" si="2"/>
        <v>0</v>
      </c>
      <c r="N21" s="197">
        <f t="shared" si="3"/>
        <v>650367.66436397668</v>
      </c>
      <c r="O21" s="195">
        <v>228</v>
      </c>
      <c r="P21" s="195">
        <v>17</v>
      </c>
      <c r="Q21" s="195">
        <f t="shared" si="4"/>
        <v>245</v>
      </c>
      <c r="R21" s="84">
        <f t="shared" si="5"/>
        <v>983873.73680085957</v>
      </c>
      <c r="S21" s="84">
        <f t="shared" si="6"/>
        <v>73359.006691292161</v>
      </c>
      <c r="T21" s="200">
        <f t="shared" si="7"/>
        <v>1057232.7434921516</v>
      </c>
      <c r="U21" s="200">
        <f t="shared" si="8"/>
        <v>1707600.4078561282</v>
      </c>
      <c r="V21" s="187">
        <f t="shared" si="9"/>
        <v>230.83333333333337</v>
      </c>
      <c r="W21" s="148">
        <f t="shared" si="10"/>
        <v>7397.5468932395434</v>
      </c>
    </row>
    <row r="22" spans="1:23" hidden="1" x14ac:dyDescent="0.2">
      <c r="A22" s="241">
        <v>9257017</v>
      </c>
      <c r="B22" s="42" t="s">
        <v>79</v>
      </c>
      <c r="C22" s="43">
        <v>5</v>
      </c>
      <c r="D22" s="54">
        <f>'Revised Band Returns'!F22</f>
        <v>0.30864197530864196</v>
      </c>
      <c r="E22" s="54">
        <f>'Revised Band Returns'!H22</f>
        <v>0.5679012345679012</v>
      </c>
      <c r="F22" s="54">
        <f>'Revised Band Returns'!J22</f>
        <v>0</v>
      </c>
      <c r="G22" s="54">
        <f>'Revised Band Returns'!L22</f>
        <v>0</v>
      </c>
      <c r="H22" s="54">
        <f>'Revised Band Returns'!N22</f>
        <v>0.12345679012345678</v>
      </c>
      <c r="I22" s="191">
        <v>25</v>
      </c>
      <c r="J22" s="191">
        <v>12</v>
      </c>
      <c r="K22" s="192">
        <f t="shared" si="0"/>
        <v>37</v>
      </c>
      <c r="L22" s="84">
        <f t="shared" si="1"/>
        <v>99495.592950457911</v>
      </c>
      <c r="M22" s="84">
        <f t="shared" si="2"/>
        <v>47757.884616219795</v>
      </c>
      <c r="N22" s="197">
        <f t="shared" si="3"/>
        <v>147253.4775666777</v>
      </c>
      <c r="O22" s="195">
        <v>0</v>
      </c>
      <c r="P22" s="195">
        <v>0</v>
      </c>
      <c r="Q22" s="195">
        <f t="shared" si="4"/>
        <v>0</v>
      </c>
      <c r="R22" s="84">
        <f t="shared" si="5"/>
        <v>0</v>
      </c>
      <c r="S22" s="84">
        <f t="shared" si="6"/>
        <v>0</v>
      </c>
      <c r="T22" s="200">
        <f t="shared" si="7"/>
        <v>0</v>
      </c>
      <c r="U22" s="200">
        <f t="shared" si="8"/>
        <v>147253.4775666777</v>
      </c>
      <c r="V22" s="187">
        <f t="shared" si="9"/>
        <v>15.416666666666668</v>
      </c>
      <c r="W22" s="148">
        <f t="shared" si="10"/>
        <v>9551.5769232439579</v>
      </c>
    </row>
    <row r="23" spans="1:23" hidden="1" x14ac:dyDescent="0.2">
      <c r="A23" s="241">
        <v>9257016</v>
      </c>
      <c r="B23" s="42" t="s">
        <v>80</v>
      </c>
      <c r="C23" s="43">
        <v>6</v>
      </c>
      <c r="D23" s="54">
        <f>'Revised Band Returns'!F23</f>
        <v>0.42307692307692307</v>
      </c>
      <c r="E23" s="54">
        <f>'Revised Band Returns'!H23</f>
        <v>0</v>
      </c>
      <c r="F23" s="54">
        <f>'Revised Band Returns'!J23</f>
        <v>0.125</v>
      </c>
      <c r="G23" s="54">
        <f>'Revised Band Returns'!L23</f>
        <v>0.36538461538461536</v>
      </c>
      <c r="H23" s="54">
        <f>'Revised Band Returns'!N23</f>
        <v>8.6538461538461536E-2</v>
      </c>
      <c r="I23" s="191">
        <v>83</v>
      </c>
      <c r="J23" s="191">
        <v>46</v>
      </c>
      <c r="K23" s="192">
        <f>SUM(I23:J23)</f>
        <v>129</v>
      </c>
      <c r="L23" s="84">
        <f t="shared" si="1"/>
        <v>388682.65777476312</v>
      </c>
      <c r="M23" s="84">
        <f t="shared" si="2"/>
        <v>215414.48503179642</v>
      </c>
      <c r="N23" s="197">
        <f t="shared" si="3"/>
        <v>604097.14280655957</v>
      </c>
      <c r="O23" s="195">
        <v>79</v>
      </c>
      <c r="P23" s="195">
        <v>50</v>
      </c>
      <c r="Q23" s="195">
        <f t="shared" si="4"/>
        <v>129</v>
      </c>
      <c r="R23" s="84">
        <f t="shared" si="5"/>
        <v>517931.34879384103</v>
      </c>
      <c r="S23" s="84">
        <f t="shared" si="6"/>
        <v>327804.65113534243</v>
      </c>
      <c r="T23" s="200">
        <f t="shared" si="7"/>
        <v>845735.9999291834</v>
      </c>
      <c r="U23" s="200">
        <f t="shared" si="8"/>
        <v>1449833.142735743</v>
      </c>
      <c r="V23" s="187">
        <f t="shared" si="9"/>
        <v>129</v>
      </c>
      <c r="W23" s="148">
        <f t="shared" si="10"/>
        <v>11239.016610354596</v>
      </c>
    </row>
    <row r="24" spans="1:23" x14ac:dyDescent="0.2">
      <c r="A24" s="135">
        <v>9257012</v>
      </c>
      <c r="B24" s="135" t="s">
        <v>137</v>
      </c>
      <c r="C24" s="134"/>
      <c r="D24" s="54">
        <v>0</v>
      </c>
      <c r="E24" s="54">
        <v>0</v>
      </c>
      <c r="F24" s="54">
        <v>0</v>
      </c>
      <c r="G24" s="54">
        <v>1</v>
      </c>
      <c r="H24" s="98">
        <v>0</v>
      </c>
      <c r="I24" s="192">
        <v>20</v>
      </c>
      <c r="J24" s="192">
        <v>0</v>
      </c>
      <c r="K24" s="192">
        <f>SUM(I24:J24)</f>
        <v>20</v>
      </c>
      <c r="L24" s="84">
        <f t="shared" si="1"/>
        <v>97433.505317473231</v>
      </c>
      <c r="M24" s="84">
        <f t="shared" si="2"/>
        <v>0</v>
      </c>
      <c r="N24" s="197">
        <f t="shared" si="3"/>
        <v>97433.505317473231</v>
      </c>
      <c r="O24" s="98">
        <v>20</v>
      </c>
      <c r="P24" s="98">
        <v>0</v>
      </c>
      <c r="Q24" s="98">
        <f t="shared" si="4"/>
        <v>20</v>
      </c>
      <c r="R24" s="84">
        <f t="shared" si="5"/>
        <v>136406.90744446253</v>
      </c>
      <c r="S24" s="84">
        <f t="shared" si="6"/>
        <v>0</v>
      </c>
      <c r="T24" s="200">
        <f t="shared" si="7"/>
        <v>136406.90744446253</v>
      </c>
      <c r="U24" s="200">
        <f t="shared" si="8"/>
        <v>233840.41276193576</v>
      </c>
      <c r="V24" s="187">
        <f t="shared" si="9"/>
        <v>20</v>
      </c>
      <c r="W24" s="148">
        <f t="shared" si="10"/>
        <v>11692.020638096788</v>
      </c>
    </row>
    <row r="25" spans="1:23" x14ac:dyDescent="0.2">
      <c r="A25" s="135">
        <v>9257003</v>
      </c>
      <c r="B25" s="135" t="s">
        <v>138</v>
      </c>
      <c r="C25" s="134"/>
      <c r="D25" s="54">
        <v>0</v>
      </c>
      <c r="E25" s="54">
        <v>0</v>
      </c>
      <c r="F25" s="54">
        <v>0</v>
      </c>
      <c r="G25" s="54">
        <v>1</v>
      </c>
      <c r="H25" s="98">
        <v>0</v>
      </c>
      <c r="I25" s="192">
        <v>13</v>
      </c>
      <c r="J25" s="192">
        <v>0</v>
      </c>
      <c r="K25" s="192">
        <f t="shared" si="0"/>
        <v>13</v>
      </c>
      <c r="L25" s="84">
        <f t="shared" si="1"/>
        <v>63331.778456357599</v>
      </c>
      <c r="M25" s="84">
        <f t="shared" si="2"/>
        <v>0</v>
      </c>
      <c r="N25" s="197">
        <f t="shared" si="3"/>
        <v>63331.778456357599</v>
      </c>
      <c r="O25" s="98">
        <v>13</v>
      </c>
      <c r="P25" s="98">
        <v>0</v>
      </c>
      <c r="Q25" s="98">
        <f t="shared" si="4"/>
        <v>13</v>
      </c>
      <c r="R25" s="84">
        <f t="shared" si="5"/>
        <v>88664.489838900641</v>
      </c>
      <c r="S25" s="84">
        <f t="shared" si="6"/>
        <v>0</v>
      </c>
      <c r="T25" s="200">
        <f t="shared" si="7"/>
        <v>88664.489838900641</v>
      </c>
      <c r="U25" s="200">
        <f t="shared" si="8"/>
        <v>151996.26829525823</v>
      </c>
      <c r="V25" s="187">
        <f t="shared" si="9"/>
        <v>13</v>
      </c>
      <c r="W25" s="148">
        <f t="shared" si="10"/>
        <v>11692.020638096787</v>
      </c>
    </row>
    <row r="26" spans="1:23" x14ac:dyDescent="0.2">
      <c r="B26" s="55"/>
      <c r="C26" s="55"/>
      <c r="S26" s="84"/>
    </row>
    <row r="27" spans="1:23" x14ac:dyDescent="0.2">
      <c r="B27" s="55"/>
      <c r="C27" s="55"/>
      <c r="V27" s="67"/>
    </row>
    <row r="28" spans="1:23" x14ac:dyDescent="0.2">
      <c r="K28" s="57"/>
      <c r="L28" s="57"/>
      <c r="M28" s="57"/>
      <c r="N28" s="55"/>
      <c r="O28" s="55"/>
      <c r="P28" s="55"/>
      <c r="Q28" s="55"/>
      <c r="R28" s="55"/>
      <c r="S28" s="55"/>
      <c r="T28" s="201"/>
      <c r="U28" s="201"/>
    </row>
    <row r="29" spans="1:23" x14ac:dyDescent="0.2">
      <c r="B29" s="44"/>
      <c r="C29" s="44"/>
      <c r="J29" s="57"/>
      <c r="K29" s="279"/>
      <c r="L29" s="279"/>
      <c r="M29" s="279"/>
      <c r="N29" s="280"/>
      <c r="O29" s="81"/>
      <c r="P29" s="194"/>
      <c r="Q29" s="194"/>
      <c r="R29" s="194"/>
      <c r="S29" s="194"/>
      <c r="T29" s="202"/>
      <c r="U29" s="202"/>
    </row>
    <row r="30" spans="1:23" x14ac:dyDescent="0.2">
      <c r="J30" s="57"/>
      <c r="K30" s="280"/>
      <c r="L30" s="280"/>
      <c r="M30" s="280"/>
      <c r="N30" s="280"/>
      <c r="O30" s="81"/>
      <c r="P30" s="194"/>
      <c r="Q30" s="194"/>
      <c r="R30" s="194"/>
      <c r="S30" s="194"/>
      <c r="T30" s="202"/>
      <c r="U30" s="202"/>
    </row>
    <row r="31" spans="1:23" x14ac:dyDescent="0.2">
      <c r="C31" s="56"/>
      <c r="D31" s="57"/>
      <c r="E31" s="38" t="s">
        <v>2</v>
      </c>
      <c r="G31" s="46">
        <f>'Funding Model'!D7</f>
        <v>11692.020638096787</v>
      </c>
      <c r="H31" s="58">
        <f>'Funding Model'!E7</f>
        <v>0</v>
      </c>
      <c r="I31" s="58"/>
      <c r="J31" s="281"/>
      <c r="K31" s="280"/>
      <c r="L31" s="280"/>
      <c r="M31" s="280"/>
      <c r="N31" s="280"/>
      <c r="O31" s="81"/>
      <c r="P31" s="194"/>
      <c r="Q31" s="194"/>
      <c r="R31" s="194"/>
      <c r="S31" s="194"/>
      <c r="T31" s="202"/>
      <c r="U31" s="202"/>
    </row>
    <row r="32" spans="1:23" x14ac:dyDescent="0.2">
      <c r="C32" s="59"/>
      <c r="D32" s="57"/>
      <c r="G32" s="46"/>
      <c r="H32" s="58"/>
      <c r="I32" s="58"/>
      <c r="J32" s="281"/>
      <c r="K32" s="280"/>
      <c r="L32" s="280"/>
      <c r="M32" s="280"/>
      <c r="N32" s="280"/>
      <c r="O32" s="81"/>
      <c r="P32" s="194"/>
      <c r="Q32" s="194"/>
      <c r="R32" s="194"/>
      <c r="S32" s="194"/>
      <c r="T32" s="202"/>
      <c r="U32" s="202"/>
    </row>
    <row r="33" spans="2:21" x14ac:dyDescent="0.2">
      <c r="C33" s="56"/>
      <c r="D33" s="57"/>
      <c r="E33" s="38" t="s">
        <v>3</v>
      </c>
      <c r="G33" s="46">
        <f>'Funding Model'!D9</f>
        <v>7350.1419469065795</v>
      </c>
      <c r="H33" s="58">
        <f>'Funding Model'!E9</f>
        <v>0</v>
      </c>
      <c r="I33" s="58"/>
      <c r="J33" s="281"/>
      <c r="K33" s="279"/>
      <c r="L33" s="279"/>
      <c r="M33" s="279"/>
      <c r="N33" s="280"/>
      <c r="O33" s="81"/>
      <c r="P33" s="194"/>
      <c r="Q33" s="194"/>
      <c r="R33" s="194"/>
      <c r="S33" s="194"/>
      <c r="T33" s="202"/>
      <c r="U33" s="202"/>
    </row>
    <row r="34" spans="2:21" x14ac:dyDescent="0.2">
      <c r="C34" s="59"/>
      <c r="D34" s="57"/>
      <c r="G34" s="46"/>
      <c r="H34" s="58"/>
      <c r="I34" s="58"/>
      <c r="J34" s="281"/>
      <c r="K34" s="279"/>
      <c r="L34" s="279"/>
      <c r="M34" s="279"/>
      <c r="N34" s="280"/>
      <c r="O34" s="81"/>
      <c r="P34" s="194"/>
      <c r="Q34" s="194"/>
      <c r="R34" s="194"/>
      <c r="S34" s="194"/>
      <c r="T34" s="202"/>
      <c r="U34" s="202"/>
    </row>
    <row r="35" spans="2:21" x14ac:dyDescent="0.2">
      <c r="C35" s="56"/>
      <c r="D35" s="57"/>
      <c r="E35" s="38" t="s">
        <v>5</v>
      </c>
      <c r="G35" s="46">
        <f>'Funding Model'!D11</f>
        <v>6243.7244928897762</v>
      </c>
      <c r="H35" s="58">
        <f>'Funding Model'!E11</f>
        <v>0</v>
      </c>
      <c r="I35" s="58"/>
      <c r="J35" s="281"/>
      <c r="K35" s="279"/>
      <c r="L35" s="279"/>
      <c r="M35" s="279"/>
      <c r="N35" s="280"/>
      <c r="O35" s="81"/>
      <c r="P35" s="194"/>
      <c r="Q35" s="194"/>
      <c r="R35" s="194"/>
      <c r="S35" s="194"/>
      <c r="T35" s="202"/>
      <c r="U35" s="202"/>
    </row>
    <row r="36" spans="2:21" x14ac:dyDescent="0.2">
      <c r="C36" s="59"/>
      <c r="D36" s="57"/>
      <c r="G36" s="46"/>
      <c r="H36" s="58"/>
      <c r="I36" s="58"/>
      <c r="J36" s="281"/>
      <c r="K36" s="280"/>
      <c r="L36" s="25"/>
      <c r="M36" s="282"/>
      <c r="N36" s="280"/>
      <c r="O36" s="81"/>
      <c r="P36" s="194"/>
      <c r="Q36" s="194"/>
      <c r="R36" s="194"/>
      <c r="S36" s="194"/>
      <c r="T36" s="202"/>
      <c r="U36" s="202"/>
    </row>
    <row r="37" spans="2:21" x14ac:dyDescent="0.2">
      <c r="C37" s="56"/>
      <c r="D37" s="57"/>
      <c r="E37" s="38" t="s">
        <v>7</v>
      </c>
      <c r="G37" s="46">
        <f>'Funding Model'!D13</f>
        <v>11692.020638096787</v>
      </c>
      <c r="H37" s="58">
        <f>'Funding Model'!E13</f>
        <v>0</v>
      </c>
      <c r="I37" s="58"/>
      <c r="J37" s="281"/>
      <c r="K37" s="279"/>
      <c r="L37" s="279"/>
      <c r="M37" s="279"/>
      <c r="N37" s="280"/>
      <c r="O37" s="81"/>
      <c r="P37" s="194"/>
      <c r="Q37" s="194"/>
      <c r="R37" s="194"/>
      <c r="S37" s="194"/>
      <c r="T37" s="202"/>
      <c r="U37" s="202"/>
    </row>
    <row r="38" spans="2:21" x14ac:dyDescent="0.2">
      <c r="C38" s="59"/>
      <c r="D38" s="57"/>
      <c r="G38" s="46"/>
      <c r="H38" s="58"/>
      <c r="I38" s="58"/>
      <c r="J38" s="281"/>
      <c r="K38" s="280"/>
      <c r="L38" s="25"/>
      <c r="M38" s="282"/>
      <c r="N38" s="280"/>
      <c r="O38" s="81"/>
      <c r="P38" s="194"/>
      <c r="Q38" s="194"/>
      <c r="R38" s="194"/>
      <c r="S38" s="194"/>
      <c r="T38" s="202"/>
      <c r="U38" s="202"/>
    </row>
    <row r="39" spans="2:21" x14ac:dyDescent="0.2">
      <c r="C39" s="56"/>
      <c r="D39" s="57"/>
      <c r="E39" s="38" t="s">
        <v>8</v>
      </c>
      <c r="G39" s="46">
        <f>'Funding Model'!D15</f>
        <v>11692.020638096787</v>
      </c>
      <c r="H39" s="58">
        <f>'Funding Model'!E15</f>
        <v>0</v>
      </c>
      <c r="I39" s="58"/>
      <c r="J39" s="281"/>
      <c r="K39" s="279"/>
      <c r="L39" s="279"/>
      <c r="M39" s="279"/>
      <c r="N39" s="280"/>
      <c r="O39" s="81"/>
      <c r="P39" s="194"/>
      <c r="Q39" s="194"/>
      <c r="R39" s="194"/>
      <c r="S39" s="194"/>
      <c r="T39" s="202"/>
      <c r="U39" s="202"/>
    </row>
    <row r="40" spans="2:21" ht="14.25" x14ac:dyDescent="0.2">
      <c r="B40" s="60"/>
      <c r="C40" s="61"/>
      <c r="D40" s="62"/>
      <c r="E40" s="63"/>
      <c r="H40" s="71"/>
      <c r="I40" s="71"/>
      <c r="J40" s="283"/>
      <c r="K40" s="279"/>
      <c r="L40" s="279"/>
      <c r="M40" s="279"/>
      <c r="N40" s="280"/>
      <c r="O40" s="81"/>
      <c r="P40" s="194"/>
      <c r="Q40" s="194"/>
      <c r="R40" s="194"/>
      <c r="S40" s="194"/>
      <c r="T40" s="202"/>
      <c r="U40" s="202"/>
    </row>
    <row r="41" spans="2:21" ht="14.25" x14ac:dyDescent="0.2">
      <c r="B41" s="64"/>
      <c r="C41" s="65"/>
      <c r="E41" s="38" t="s">
        <v>109</v>
      </c>
      <c r="G41" s="46">
        <f>'Funding Model'!D17</f>
        <v>2635.0478891670464</v>
      </c>
      <c r="H41" s="58">
        <f>'Funding Model'!E17</f>
        <v>0</v>
      </c>
      <c r="I41" s="58"/>
      <c r="J41" s="281"/>
      <c r="K41" s="279"/>
      <c r="L41" s="279"/>
      <c r="M41" s="279"/>
      <c r="N41" s="280"/>
      <c r="O41" s="81"/>
      <c r="P41" s="194"/>
      <c r="Q41" s="194"/>
      <c r="R41" s="194"/>
      <c r="S41" s="194"/>
      <c r="T41" s="202"/>
      <c r="U41" s="202"/>
    </row>
    <row r="42" spans="2:21" x14ac:dyDescent="0.2">
      <c r="J42" s="57"/>
      <c r="K42" s="280"/>
      <c r="L42" s="280"/>
      <c r="M42" s="280"/>
      <c r="N42" s="280"/>
      <c r="O42" s="81"/>
      <c r="P42" s="194"/>
      <c r="Q42" s="194"/>
      <c r="R42" s="194"/>
      <c r="S42" s="194"/>
      <c r="T42" s="202"/>
      <c r="U42" s="202"/>
    </row>
    <row r="43" spans="2:21" x14ac:dyDescent="0.2">
      <c r="J43" s="57"/>
      <c r="K43" s="279"/>
      <c r="L43" s="279"/>
      <c r="M43" s="279"/>
      <c r="N43" s="280"/>
      <c r="O43" s="81"/>
      <c r="P43" s="194"/>
      <c r="Q43" s="194"/>
      <c r="R43" s="194"/>
      <c r="S43" s="194"/>
      <c r="T43" s="202"/>
      <c r="U43" s="202"/>
    </row>
    <row r="44" spans="2:21" x14ac:dyDescent="0.2">
      <c r="J44" s="57"/>
      <c r="K44" s="279"/>
      <c r="L44" s="279"/>
      <c r="M44" s="279"/>
      <c r="N44" s="280"/>
      <c r="O44" s="81"/>
      <c r="P44" s="194"/>
      <c r="Q44" s="194"/>
      <c r="R44" s="194"/>
      <c r="S44" s="194"/>
      <c r="T44" s="202"/>
      <c r="U44" s="202"/>
    </row>
    <row r="45" spans="2:21" x14ac:dyDescent="0.2">
      <c r="J45" s="57"/>
      <c r="K45" s="279"/>
      <c r="L45" s="279"/>
      <c r="M45" s="279"/>
      <c r="N45" s="280"/>
      <c r="O45" s="81"/>
      <c r="P45" s="194"/>
      <c r="Q45" s="194"/>
      <c r="R45" s="194"/>
      <c r="S45" s="194"/>
      <c r="T45" s="202"/>
      <c r="U45" s="202"/>
    </row>
    <row r="46" spans="2:21" x14ac:dyDescent="0.2">
      <c r="J46" s="57"/>
      <c r="K46" s="279"/>
      <c r="L46" s="279"/>
      <c r="M46" s="279"/>
      <c r="N46" s="280"/>
      <c r="O46" s="81"/>
      <c r="P46" s="194"/>
      <c r="Q46" s="194"/>
      <c r="R46" s="194"/>
      <c r="S46" s="194"/>
      <c r="T46" s="202"/>
      <c r="U46" s="202"/>
    </row>
    <row r="47" spans="2:21" x14ac:dyDescent="0.2">
      <c r="J47" s="57"/>
      <c r="K47" s="279"/>
      <c r="L47" s="279"/>
      <c r="M47" s="279"/>
      <c r="N47" s="280"/>
      <c r="O47" s="81"/>
      <c r="P47" s="194"/>
      <c r="Q47" s="194"/>
      <c r="R47" s="194"/>
      <c r="S47" s="194"/>
      <c r="T47" s="202"/>
      <c r="U47" s="202"/>
    </row>
    <row r="48" spans="2:21" x14ac:dyDescent="0.2">
      <c r="J48" s="57"/>
      <c r="K48" s="279"/>
      <c r="L48" s="279"/>
      <c r="M48" s="279"/>
      <c r="N48" s="280"/>
      <c r="O48" s="81"/>
      <c r="P48" s="194"/>
      <c r="Q48" s="194"/>
      <c r="R48" s="194"/>
      <c r="S48" s="194"/>
      <c r="T48" s="202"/>
      <c r="U48" s="202"/>
    </row>
    <row r="49" spans="10:21" x14ac:dyDescent="0.2">
      <c r="J49" s="57"/>
      <c r="K49" s="279"/>
      <c r="L49" s="279"/>
      <c r="M49" s="279"/>
      <c r="N49" s="280"/>
      <c r="O49" s="81"/>
      <c r="P49" s="194"/>
      <c r="Q49" s="194"/>
      <c r="R49" s="194"/>
      <c r="S49" s="194"/>
      <c r="T49" s="202"/>
      <c r="U49" s="202"/>
    </row>
    <row r="50" spans="10:21" x14ac:dyDescent="0.2">
      <c r="J50" s="57"/>
      <c r="K50" s="57"/>
      <c r="L50" s="57"/>
      <c r="M50" s="57"/>
      <c r="N50" s="55"/>
      <c r="O50" s="55"/>
      <c r="P50" s="55"/>
      <c r="Q50" s="55"/>
      <c r="R50" s="55"/>
      <c r="S50" s="55"/>
      <c r="T50" s="201"/>
      <c r="U50" s="20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
  <sheetViews>
    <sheetView workbookViewId="0">
      <selection activeCell="J21" sqref="J21"/>
    </sheetView>
  </sheetViews>
  <sheetFormatPr defaultRowHeight="12.75" x14ac:dyDescent="0.2"/>
  <sheetData>
    <row r="1" spans="1:12" ht="18" x14ac:dyDescent="0.25">
      <c r="A1" s="38"/>
      <c r="B1" s="48" t="s">
        <v>329</v>
      </c>
      <c r="C1" s="37"/>
      <c r="D1" s="45"/>
      <c r="E1" s="45"/>
      <c r="F1" s="45"/>
      <c r="G1" s="45"/>
      <c r="H1" s="38"/>
      <c r="I1" s="44"/>
      <c r="J1" s="44"/>
      <c r="K1" s="45"/>
      <c r="L1" s="45"/>
    </row>
    <row r="2" spans="1:12" x14ac:dyDescent="0.2">
      <c r="A2" s="38">
        <v>1</v>
      </c>
      <c r="B2" s="52">
        <v>2</v>
      </c>
      <c r="C2" s="52">
        <v>3</v>
      </c>
      <c r="D2" s="45">
        <v>4</v>
      </c>
      <c r="E2" s="45">
        <v>5</v>
      </c>
      <c r="F2" s="45">
        <v>6</v>
      </c>
      <c r="G2" s="45">
        <v>7</v>
      </c>
      <c r="H2" s="38">
        <v>8</v>
      </c>
      <c r="I2" s="44">
        <v>9</v>
      </c>
      <c r="J2" s="44">
        <v>10</v>
      </c>
      <c r="K2" s="45">
        <v>11</v>
      </c>
      <c r="L2" s="81">
        <v>12</v>
      </c>
    </row>
    <row r="3" spans="1:12" s="21" customFormat="1" ht="51" x14ac:dyDescent="0.2">
      <c r="A3" s="240" t="s">
        <v>268</v>
      </c>
      <c r="B3" s="239" t="s">
        <v>66</v>
      </c>
      <c r="C3" s="174" t="s">
        <v>52</v>
      </c>
      <c r="D3" s="146" t="s">
        <v>20</v>
      </c>
      <c r="E3" s="146" t="s">
        <v>21</v>
      </c>
      <c r="F3" s="70" t="s">
        <v>64</v>
      </c>
      <c r="G3" s="70" t="s">
        <v>114</v>
      </c>
      <c r="H3" s="70" t="s">
        <v>103</v>
      </c>
      <c r="I3" s="174" t="s">
        <v>201</v>
      </c>
      <c r="J3" s="174" t="s">
        <v>237</v>
      </c>
      <c r="K3" s="70" t="s">
        <v>104</v>
      </c>
      <c r="L3" s="70" t="s">
        <v>328</v>
      </c>
    </row>
    <row r="4" spans="1:12"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f>
        <v>593728.26534070226</v>
      </c>
      <c r="L4" s="142">
        <f>'Band Calculations'!K24</f>
        <v>20</v>
      </c>
    </row>
    <row r="5" spans="1:12" x14ac:dyDescent="0.2">
      <c r="A5" s="295">
        <v>9257003</v>
      </c>
      <c r="B5" s="138" t="s">
        <v>138</v>
      </c>
      <c r="C5" s="138"/>
      <c r="D5" s="100">
        <f>'Funding Model'!D28</f>
        <v>120796.88938648649</v>
      </c>
      <c r="E5" s="100">
        <f>'Funding Model'!E28</f>
        <v>18681.5</v>
      </c>
      <c r="F5" s="100"/>
      <c r="G5" s="100"/>
      <c r="H5" s="344">
        <f>'Band Calculations 15-16'!U25</f>
        <v>151996.26829525823</v>
      </c>
      <c r="I5" s="344">
        <v>0</v>
      </c>
      <c r="J5" s="344">
        <v>516.53498112061106</v>
      </c>
      <c r="K5" s="344">
        <f>SUM(D5:J5)</f>
        <v>291991.19266286533</v>
      </c>
      <c r="L5" s="345">
        <v>13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workbookViewId="0">
      <selection activeCell="M27" sqref="M27"/>
    </sheetView>
  </sheetViews>
  <sheetFormatPr defaultRowHeight="12.75" x14ac:dyDescent="0.2"/>
  <cols>
    <col min="2" max="2" width="32.85546875" customWidth="1"/>
    <col min="3" max="3" width="11.5703125" bestFit="1" customWidth="1"/>
    <col min="6" max="6" width="10.5703125" customWidth="1"/>
    <col min="7" max="7" width="24.5703125" customWidth="1"/>
    <col min="9" max="9" width="9.5703125" bestFit="1" customWidth="1"/>
    <col min="10" max="10" width="10.85546875" customWidth="1"/>
    <col min="11" max="11" width="10.28515625" customWidth="1"/>
  </cols>
  <sheetData>
    <row r="1" spans="1:16" ht="18.75" thickBot="1" x14ac:dyDescent="0.3">
      <c r="A1" s="447"/>
      <c r="B1" s="48" t="s">
        <v>351</v>
      </c>
      <c r="C1" s="447"/>
      <c r="D1" s="447"/>
    </row>
    <row r="2" spans="1:16" ht="15" x14ac:dyDescent="0.25">
      <c r="A2" s="447"/>
      <c r="B2" s="448"/>
      <c r="C2" s="447"/>
      <c r="D2" s="447"/>
      <c r="F2" s="449"/>
      <c r="G2" s="450"/>
      <c r="H2" s="450"/>
      <c r="I2" s="450"/>
      <c r="J2" s="451">
        <v>4000</v>
      </c>
      <c r="K2" s="451">
        <v>33.75</v>
      </c>
      <c r="L2" s="452"/>
      <c r="M2" s="452"/>
      <c r="N2" s="453"/>
      <c r="O2" s="454"/>
    </row>
    <row r="3" spans="1:16" ht="26.25" x14ac:dyDescent="0.25">
      <c r="A3" s="455" t="s">
        <v>268</v>
      </c>
      <c r="B3" s="456" t="s">
        <v>66</v>
      </c>
      <c r="C3" s="457" t="s">
        <v>21</v>
      </c>
      <c r="D3" s="458" t="s">
        <v>321</v>
      </c>
      <c r="F3" s="459"/>
      <c r="G3" s="25"/>
      <c r="H3" s="25"/>
      <c r="I3" s="460" t="s">
        <v>367</v>
      </c>
      <c r="J3" s="461" t="s">
        <v>368</v>
      </c>
      <c r="K3" s="460" t="s">
        <v>369</v>
      </c>
      <c r="L3" s="460" t="s">
        <v>62</v>
      </c>
      <c r="M3" s="460"/>
      <c r="N3" s="462"/>
      <c r="O3" s="454"/>
    </row>
    <row r="4" spans="1:16" x14ac:dyDescent="0.2">
      <c r="A4" s="463">
        <v>9257010</v>
      </c>
      <c r="B4" s="464" t="s">
        <v>67</v>
      </c>
      <c r="C4" s="465">
        <v>69201.680689977453</v>
      </c>
      <c r="D4" s="466">
        <f>C4*$C$32</f>
        <v>5965.833894800965</v>
      </c>
      <c r="F4" s="459"/>
      <c r="G4" s="467" t="s">
        <v>370</v>
      </c>
      <c r="H4" s="461">
        <v>1765</v>
      </c>
      <c r="I4" s="460">
        <v>18</v>
      </c>
      <c r="J4" s="468">
        <f>I4*$J$2</f>
        <v>72000</v>
      </c>
      <c r="K4" s="468">
        <f>H4*$K$2</f>
        <v>59568.75</v>
      </c>
      <c r="L4" s="469">
        <f>SUM(J4:K4)</f>
        <v>131568.75</v>
      </c>
      <c r="M4" s="469"/>
      <c r="N4" s="462"/>
      <c r="O4" s="454"/>
    </row>
    <row r="5" spans="1:16" x14ac:dyDescent="0.2">
      <c r="A5" s="463">
        <v>9257005</v>
      </c>
      <c r="B5" s="464" t="s">
        <v>68</v>
      </c>
      <c r="C5" s="465">
        <v>117027.3922528728</v>
      </c>
      <c r="D5" s="466">
        <f t="shared" ref="D5:D15" si="0">C5*$C$32</f>
        <v>10088.858772811171</v>
      </c>
      <c r="F5" s="459"/>
      <c r="G5" s="467" t="s">
        <v>371</v>
      </c>
      <c r="H5" s="461">
        <v>70</v>
      </c>
      <c r="I5" s="460">
        <v>1</v>
      </c>
      <c r="J5" s="468">
        <f t="shared" ref="J5:J7" si="1">I5*$J$2</f>
        <v>4000</v>
      </c>
      <c r="K5" s="468">
        <f t="shared" ref="K5:K7" si="2">H5*$K$2</f>
        <v>2362.5</v>
      </c>
      <c r="L5" s="469">
        <f t="shared" ref="L5:L7" si="3">SUM(J5:K5)</f>
        <v>6362.5</v>
      </c>
      <c r="M5" s="469"/>
      <c r="N5" s="462"/>
      <c r="O5" s="454"/>
    </row>
    <row r="6" spans="1:16" x14ac:dyDescent="0.2">
      <c r="A6" s="463">
        <v>9257025</v>
      </c>
      <c r="B6" s="464" t="s">
        <v>69</v>
      </c>
      <c r="C6" s="465">
        <v>88790.687513148558</v>
      </c>
      <c r="D6" s="466">
        <f t="shared" si="0"/>
        <v>7654.5900016752194</v>
      </c>
      <c r="F6" s="459"/>
      <c r="G6" s="467" t="s">
        <v>372</v>
      </c>
      <c r="H6" s="461">
        <v>13</v>
      </c>
      <c r="I6" s="460">
        <v>1</v>
      </c>
      <c r="J6" s="468">
        <f t="shared" si="1"/>
        <v>4000</v>
      </c>
      <c r="K6" s="468">
        <f t="shared" si="2"/>
        <v>438.75</v>
      </c>
      <c r="L6" s="469">
        <f t="shared" si="3"/>
        <v>4438.75</v>
      </c>
      <c r="M6" s="469"/>
      <c r="N6" s="462"/>
      <c r="O6" s="454"/>
    </row>
    <row r="7" spans="1:16" ht="13.5" thickBot="1" x14ac:dyDescent="0.25">
      <c r="A7" s="463">
        <v>9257011</v>
      </c>
      <c r="B7" s="464" t="s">
        <v>70</v>
      </c>
      <c r="C7" s="465">
        <v>88790.687513148558</v>
      </c>
      <c r="D7" s="466">
        <f t="shared" si="0"/>
        <v>7654.5900016752194</v>
      </c>
      <c r="F7" s="459"/>
      <c r="G7" s="467" t="s">
        <v>373</v>
      </c>
      <c r="H7" s="461">
        <v>252</v>
      </c>
      <c r="I7" s="460">
        <v>1</v>
      </c>
      <c r="J7" s="468">
        <f t="shared" si="1"/>
        <v>4000</v>
      </c>
      <c r="K7" s="468">
        <f t="shared" si="2"/>
        <v>8505</v>
      </c>
      <c r="L7" s="469">
        <f t="shared" si="3"/>
        <v>12505</v>
      </c>
      <c r="M7" s="469"/>
      <c r="N7" s="462"/>
      <c r="O7" s="454"/>
    </row>
    <row r="8" spans="1:16" ht="13.5" thickBot="1" x14ac:dyDescent="0.25">
      <c r="A8" s="463">
        <v>9257024</v>
      </c>
      <c r="B8" s="464" t="s">
        <v>71</v>
      </c>
      <c r="C8" s="465">
        <v>69201.680689977453</v>
      </c>
      <c r="D8" s="466">
        <f t="shared" si="0"/>
        <v>5965.833894800965</v>
      </c>
      <c r="F8" s="459"/>
      <c r="G8" s="467"/>
      <c r="H8" s="470">
        <f>SUM(H4:H7)</f>
        <v>2100</v>
      </c>
      <c r="I8" s="461"/>
      <c r="J8" s="469">
        <f>SUM(J4:J7)</f>
        <v>84000</v>
      </c>
      <c r="K8" s="469">
        <f>SUM(K4:K7)</f>
        <v>70875</v>
      </c>
      <c r="L8" s="471">
        <f>SUM(L4:L7)</f>
        <v>154875</v>
      </c>
      <c r="M8" s="472"/>
      <c r="N8" s="462"/>
      <c r="O8" s="454"/>
    </row>
    <row r="9" spans="1:16" x14ac:dyDescent="0.2">
      <c r="A9" s="463">
        <v>9257008</v>
      </c>
      <c r="B9" s="464" t="s">
        <v>73</v>
      </c>
      <c r="C9" s="465">
        <v>88790.687513148558</v>
      </c>
      <c r="D9" s="466">
        <f t="shared" si="0"/>
        <v>7654.5900016752194</v>
      </c>
      <c r="F9" s="459"/>
      <c r="G9" s="467"/>
      <c r="H9" s="461"/>
      <c r="I9" s="461"/>
      <c r="J9" s="461"/>
      <c r="K9" s="461"/>
      <c r="L9" s="461"/>
      <c r="M9" s="461"/>
      <c r="N9" s="462"/>
      <c r="O9" s="454"/>
    </row>
    <row r="10" spans="1:16" ht="13.5" thickBot="1" x14ac:dyDescent="0.25">
      <c r="A10" s="463">
        <v>9257002</v>
      </c>
      <c r="B10" s="464" t="s">
        <v>75</v>
      </c>
      <c r="C10" s="465">
        <v>88790.687513148558</v>
      </c>
      <c r="D10" s="466">
        <f t="shared" si="0"/>
        <v>7654.5900016752194</v>
      </c>
      <c r="F10" s="473"/>
      <c r="G10" s="474"/>
      <c r="H10" s="474"/>
      <c r="I10" s="474"/>
      <c r="J10" s="474"/>
      <c r="K10" s="474"/>
      <c r="L10" s="474"/>
      <c r="M10" s="474"/>
      <c r="N10" s="475"/>
    </row>
    <row r="11" spans="1:16" x14ac:dyDescent="0.2">
      <c r="A11" s="463">
        <v>9257009</v>
      </c>
      <c r="B11" s="464" t="s">
        <v>76</v>
      </c>
      <c r="C11" s="465">
        <v>88790.687513148558</v>
      </c>
      <c r="D11" s="466">
        <f t="shared" si="0"/>
        <v>7654.5900016752194</v>
      </c>
      <c r="G11" s="454"/>
      <c r="H11" s="454"/>
      <c r="I11" s="454"/>
      <c r="J11" s="454"/>
      <c r="K11" s="454"/>
      <c r="L11" s="454"/>
      <c r="M11" s="454"/>
      <c r="N11" s="454"/>
    </row>
    <row r="12" spans="1:16" x14ac:dyDescent="0.2">
      <c r="A12" s="463">
        <v>9257028</v>
      </c>
      <c r="B12" s="464" t="s">
        <v>77</v>
      </c>
      <c r="C12" s="465">
        <v>88790.687513148558</v>
      </c>
      <c r="D12" s="466">
        <f t="shared" si="0"/>
        <v>7654.5900016752194</v>
      </c>
      <c r="J12" s="454" t="s">
        <v>374</v>
      </c>
      <c r="K12" s="454"/>
      <c r="L12" s="476">
        <v>165614.38426611698</v>
      </c>
      <c r="M12" s="454"/>
      <c r="N12" s="454"/>
      <c r="O12" s="454"/>
    </row>
    <row r="13" spans="1:16" x14ac:dyDescent="0.2">
      <c r="A13" s="463">
        <v>9257021</v>
      </c>
      <c r="B13" s="464" t="s">
        <v>78</v>
      </c>
      <c r="C13" s="465">
        <v>117027.3922528728</v>
      </c>
      <c r="D13" s="466">
        <f t="shared" si="0"/>
        <v>10088.858772811171</v>
      </c>
      <c r="J13" s="454"/>
      <c r="K13" s="454"/>
      <c r="L13" s="477"/>
      <c r="M13" s="477"/>
      <c r="N13" s="454"/>
      <c r="O13" s="454"/>
    </row>
    <row r="14" spans="1:16" x14ac:dyDescent="0.2">
      <c r="A14" s="478">
        <v>9257015</v>
      </c>
      <c r="B14" s="464" t="s">
        <v>57</v>
      </c>
      <c r="C14" s="465">
        <v>131719.7894229154</v>
      </c>
      <c r="D14" s="466">
        <f t="shared" si="0"/>
        <v>11355.481203928119</v>
      </c>
      <c r="J14" s="454"/>
      <c r="K14" s="454"/>
      <c r="L14" s="479">
        <f>(L12-J8)/H8</f>
        <v>38.863992507674752</v>
      </c>
      <c r="M14" s="454" t="s">
        <v>375</v>
      </c>
      <c r="N14" s="454"/>
      <c r="O14" s="454"/>
    </row>
    <row r="15" spans="1:16" x14ac:dyDescent="0.2">
      <c r="A15" s="463">
        <v>9257016</v>
      </c>
      <c r="B15" s="464" t="s">
        <v>80</v>
      </c>
      <c r="C15" s="465">
        <v>131719.7894229154</v>
      </c>
      <c r="D15" s="466">
        <f t="shared" si="0"/>
        <v>11355.481203928119</v>
      </c>
      <c r="F15" s="454"/>
      <c r="G15" s="454"/>
      <c r="H15" s="454"/>
      <c r="I15" s="454"/>
      <c r="J15" s="454"/>
      <c r="K15" s="454"/>
      <c r="L15" s="454"/>
      <c r="M15" s="454"/>
      <c r="N15" s="454"/>
      <c r="O15" s="454"/>
      <c r="P15" s="454"/>
    </row>
    <row r="16" spans="1:16" x14ac:dyDescent="0.2">
      <c r="A16" s="463"/>
      <c r="B16" s="464"/>
      <c r="C16" s="480"/>
      <c r="D16" s="481" t="s">
        <v>344</v>
      </c>
      <c r="F16" s="454"/>
      <c r="G16" s="454"/>
      <c r="H16" s="454"/>
      <c r="I16" s="454"/>
      <c r="J16" s="454"/>
      <c r="K16" s="454"/>
      <c r="L16" s="454"/>
      <c r="M16" s="454"/>
      <c r="N16" s="454"/>
      <c r="O16" s="454"/>
      <c r="P16" s="454"/>
    </row>
    <row r="17" spans="1:16" x14ac:dyDescent="0.2">
      <c r="A17" s="463">
        <v>9257031</v>
      </c>
      <c r="B17" s="47" t="s">
        <v>81</v>
      </c>
      <c r="C17" s="465">
        <v>55663.058379368813</v>
      </c>
      <c r="D17" s="466">
        <f>C17*$C$32</f>
        <v>4798.6776774341888</v>
      </c>
      <c r="F17" s="482"/>
      <c r="G17" s="482"/>
      <c r="H17" s="476" t="s">
        <v>355</v>
      </c>
      <c r="I17" s="476" t="s">
        <v>376</v>
      </c>
      <c r="J17" s="476" t="s">
        <v>377</v>
      </c>
      <c r="K17" s="476" t="s">
        <v>62</v>
      </c>
      <c r="L17" s="476"/>
      <c r="M17" s="476"/>
      <c r="N17" s="476"/>
      <c r="O17" s="454"/>
      <c r="P17" s="454"/>
    </row>
    <row r="18" spans="1:16" x14ac:dyDescent="0.2">
      <c r="A18" s="463">
        <v>9257029</v>
      </c>
      <c r="B18" s="47" t="s">
        <v>84</v>
      </c>
      <c r="C18" s="465">
        <v>55663.058379368813</v>
      </c>
      <c r="D18" s="466">
        <f>C18*$C$32</f>
        <v>4798.6776774341888</v>
      </c>
      <c r="F18" s="482">
        <v>9257010</v>
      </c>
      <c r="G18" s="482" t="s">
        <v>378</v>
      </c>
      <c r="H18" s="483">
        <v>56</v>
      </c>
      <c r="I18" s="476">
        <v>4000</v>
      </c>
      <c r="J18" s="476">
        <f>H18*$I$54</f>
        <v>2176.16</v>
      </c>
      <c r="K18" s="484">
        <f>I18+J18</f>
        <v>6176.16</v>
      </c>
      <c r="L18" s="476"/>
      <c r="M18" s="476"/>
      <c r="N18" s="476"/>
      <c r="O18" s="454"/>
      <c r="P18" s="454"/>
    </row>
    <row r="19" spans="1:16" x14ac:dyDescent="0.2">
      <c r="A19" s="463">
        <v>9257032</v>
      </c>
      <c r="B19" s="47" t="s">
        <v>82</v>
      </c>
      <c r="C19" s="465">
        <v>58044.118057617408</v>
      </c>
      <c r="D19" s="466">
        <f>C19*$C$32</f>
        <v>5003.9473528583676</v>
      </c>
      <c r="F19" s="482">
        <v>9257005</v>
      </c>
      <c r="G19" s="482" t="s">
        <v>379</v>
      </c>
      <c r="H19" s="483">
        <v>70.833333333333329</v>
      </c>
      <c r="I19" s="476">
        <v>4000</v>
      </c>
      <c r="J19" s="476">
        <f t="shared" ref="J19:J40" si="4">H19*$I$54</f>
        <v>2752.583333333333</v>
      </c>
      <c r="K19" s="484">
        <f t="shared" ref="K19:K35" si="5">I19+J19</f>
        <v>6752.583333333333</v>
      </c>
      <c r="L19" s="476"/>
      <c r="M19" s="476"/>
      <c r="N19" s="476"/>
      <c r="O19" s="454"/>
      <c r="P19" s="454"/>
    </row>
    <row r="20" spans="1:16" x14ac:dyDescent="0.2">
      <c r="A20" s="463">
        <v>9257030</v>
      </c>
      <c r="B20" s="47" t="s">
        <v>83</v>
      </c>
      <c r="C20" s="465">
        <v>58044.118057617408</v>
      </c>
      <c r="D20" s="466">
        <f>C20*$C$32</f>
        <v>5003.9473528583676</v>
      </c>
      <c r="F20" s="482">
        <v>9257025</v>
      </c>
      <c r="G20" s="482" t="s">
        <v>380</v>
      </c>
      <c r="H20" s="483">
        <v>66.166666666666671</v>
      </c>
      <c r="I20" s="476">
        <v>4000</v>
      </c>
      <c r="J20" s="476">
        <f t="shared" si="4"/>
        <v>2571.2366666666667</v>
      </c>
      <c r="K20" s="484">
        <f t="shared" si="5"/>
        <v>6571.2366666666667</v>
      </c>
      <c r="L20" s="476"/>
      <c r="M20" s="476"/>
      <c r="N20" s="476"/>
      <c r="O20" s="454"/>
      <c r="P20" s="454"/>
    </row>
    <row r="21" spans="1:16" x14ac:dyDescent="0.2">
      <c r="A21" s="463"/>
      <c r="B21" s="47"/>
      <c r="C21" s="465"/>
      <c r="D21" s="481" t="s">
        <v>344</v>
      </c>
      <c r="F21" s="482">
        <v>9257011</v>
      </c>
      <c r="G21" s="482" t="s">
        <v>70</v>
      </c>
      <c r="H21" s="483">
        <v>57.416666666666664</v>
      </c>
      <c r="I21" s="476">
        <v>4000</v>
      </c>
      <c r="J21" s="476">
        <f t="shared" si="4"/>
        <v>2231.2116666666666</v>
      </c>
      <c r="K21" s="484">
        <f t="shared" si="5"/>
        <v>6231.2116666666661</v>
      </c>
      <c r="L21" s="476"/>
      <c r="M21" s="476"/>
      <c r="N21" s="476"/>
      <c r="O21" s="454"/>
      <c r="P21" s="454"/>
    </row>
    <row r="22" spans="1:16" x14ac:dyDescent="0.2">
      <c r="A22" s="463">
        <v>9257033</v>
      </c>
      <c r="B22" s="464" t="s">
        <v>72</v>
      </c>
      <c r="C22" s="465">
        <v>69201.680689977453</v>
      </c>
      <c r="D22" s="466">
        <f>C22*$C$32</f>
        <v>5965.833894800965</v>
      </c>
      <c r="F22" s="482">
        <v>9257024</v>
      </c>
      <c r="G22" s="482" t="s">
        <v>381</v>
      </c>
      <c r="H22" s="483">
        <v>74.833333333333343</v>
      </c>
      <c r="I22" s="476">
        <v>4000</v>
      </c>
      <c r="J22" s="476">
        <f t="shared" si="4"/>
        <v>2908.0233333333335</v>
      </c>
      <c r="K22" s="484">
        <f t="shared" si="5"/>
        <v>6908.0233333333335</v>
      </c>
      <c r="L22" s="476"/>
      <c r="M22" s="476"/>
      <c r="N22" s="476"/>
      <c r="O22" s="454"/>
      <c r="P22" s="454"/>
    </row>
    <row r="23" spans="1:16" x14ac:dyDescent="0.2">
      <c r="A23" s="463">
        <v>9257034</v>
      </c>
      <c r="B23" s="464" t="s">
        <v>74</v>
      </c>
      <c r="C23" s="465">
        <v>117027.3922528728</v>
      </c>
      <c r="D23" s="466">
        <f>C23*$C$32</f>
        <v>10088.858772811171</v>
      </c>
      <c r="F23" s="482">
        <v>9257008</v>
      </c>
      <c r="G23" s="482" t="s">
        <v>87</v>
      </c>
      <c r="H23" s="483">
        <v>92.916666666666671</v>
      </c>
      <c r="I23" s="476">
        <v>4000</v>
      </c>
      <c r="J23" s="476">
        <f t="shared" si="4"/>
        <v>3610.7416666666668</v>
      </c>
      <c r="K23" s="484">
        <f t="shared" si="5"/>
        <v>7610.7416666666668</v>
      </c>
      <c r="L23" s="476"/>
      <c r="M23" s="476"/>
      <c r="N23" s="476"/>
      <c r="O23" s="454"/>
      <c r="P23" s="454"/>
    </row>
    <row r="24" spans="1:16" ht="15" x14ac:dyDescent="0.25">
      <c r="A24" s="485"/>
      <c r="B24" s="486"/>
      <c r="C24" s="487"/>
      <c r="D24" s="447"/>
      <c r="F24" s="482">
        <v>9257002</v>
      </c>
      <c r="G24" s="482" t="s">
        <v>382</v>
      </c>
      <c r="H24" s="483">
        <v>143.16666666666669</v>
      </c>
      <c r="I24" s="476">
        <v>4000</v>
      </c>
      <c r="J24" s="476">
        <f t="shared" si="4"/>
        <v>5563.4566666666669</v>
      </c>
      <c r="K24" s="484">
        <f t="shared" si="5"/>
        <v>9563.4566666666669</v>
      </c>
      <c r="L24" s="476"/>
      <c r="M24" s="476"/>
      <c r="N24" s="476"/>
      <c r="O24" s="454"/>
      <c r="P24" s="454"/>
    </row>
    <row r="25" spans="1:16" x14ac:dyDescent="0.2">
      <c r="A25" s="463">
        <v>9257012</v>
      </c>
      <c r="B25" s="464" t="s">
        <v>383</v>
      </c>
      <c r="C25" s="480">
        <v>88791</v>
      </c>
      <c r="D25" s="466">
        <f>C25*$C$32</f>
        <v>7654.6169409725226</v>
      </c>
      <c r="F25" s="482">
        <v>9257009</v>
      </c>
      <c r="G25" s="482" t="s">
        <v>384</v>
      </c>
      <c r="H25" s="483">
        <v>131.33333333333334</v>
      </c>
      <c r="I25" s="476">
        <v>4000</v>
      </c>
      <c r="J25" s="476">
        <f t="shared" si="4"/>
        <v>5103.6133333333337</v>
      </c>
      <c r="K25" s="484">
        <f t="shared" si="5"/>
        <v>9103.6133333333346</v>
      </c>
      <c r="L25" s="476"/>
      <c r="M25" s="476"/>
      <c r="N25" s="476"/>
      <c r="O25" s="454"/>
      <c r="P25" s="454"/>
    </row>
    <row r="26" spans="1:16" x14ac:dyDescent="0.2">
      <c r="A26" s="463">
        <v>9257003</v>
      </c>
      <c r="B26" s="464" t="s">
        <v>372</v>
      </c>
      <c r="C26" s="480">
        <v>18682</v>
      </c>
      <c r="D26" s="466">
        <f>C26*$C$32</f>
        <v>1610.5636122044878</v>
      </c>
      <c r="F26" s="482">
        <v>9257028</v>
      </c>
      <c r="G26" s="482" t="s">
        <v>77</v>
      </c>
      <c r="H26" s="483">
        <v>79.25</v>
      </c>
      <c r="I26" s="476">
        <v>4000</v>
      </c>
      <c r="J26" s="476">
        <f t="shared" si="4"/>
        <v>3079.6549999999997</v>
      </c>
      <c r="K26" s="484">
        <f t="shared" si="5"/>
        <v>7079.6549999999997</v>
      </c>
      <c r="L26" s="476"/>
      <c r="M26" s="476"/>
      <c r="N26" s="476"/>
      <c r="O26" s="454"/>
      <c r="P26" s="454"/>
    </row>
    <row r="27" spans="1:16" x14ac:dyDescent="0.2">
      <c r="A27" s="463">
        <v>9251105</v>
      </c>
      <c r="B27" s="464" t="s">
        <v>373</v>
      </c>
      <c r="C27" s="480">
        <v>236900</v>
      </c>
      <c r="D27" s="466">
        <f>C27*$C$32</f>
        <v>20423.001805547756</v>
      </c>
      <c r="F27" s="482">
        <v>9257021</v>
      </c>
      <c r="G27" s="482" t="s">
        <v>385</v>
      </c>
      <c r="H27" s="483">
        <v>154.5</v>
      </c>
      <c r="I27" s="476">
        <v>4000</v>
      </c>
      <c r="J27" s="476">
        <f t="shared" si="4"/>
        <v>6003.87</v>
      </c>
      <c r="K27" s="484">
        <f t="shared" si="5"/>
        <v>10003.869999999999</v>
      </c>
      <c r="L27" s="476"/>
      <c r="M27" s="476"/>
      <c r="N27" s="476"/>
      <c r="O27" s="454"/>
      <c r="P27" s="454"/>
    </row>
    <row r="28" spans="1:16" ht="15" x14ac:dyDescent="0.25">
      <c r="A28" s="485"/>
      <c r="B28" s="486"/>
      <c r="C28" s="487"/>
      <c r="D28" s="447"/>
      <c r="F28" s="482">
        <v>9257015</v>
      </c>
      <c r="G28" s="482" t="s">
        <v>57</v>
      </c>
      <c r="H28" s="483">
        <v>249.00000000000003</v>
      </c>
      <c r="I28" s="476">
        <v>4000</v>
      </c>
      <c r="J28" s="476">
        <f t="shared" si="4"/>
        <v>9676.1400000000012</v>
      </c>
      <c r="K28" s="484">
        <f t="shared" si="5"/>
        <v>13676.140000000001</v>
      </c>
      <c r="L28" s="476"/>
      <c r="M28" s="476"/>
      <c r="N28" s="476"/>
      <c r="O28" s="454"/>
      <c r="P28" s="454"/>
    </row>
    <row r="29" spans="1:16" ht="15.75" thickBot="1" x14ac:dyDescent="0.3">
      <c r="A29" s="485"/>
      <c r="B29" s="447"/>
      <c r="C29" s="488">
        <f>SUM(C4:C28)</f>
        <v>1926658.2756272454</v>
      </c>
      <c r="D29" s="488">
        <f>SUM(D4:D28)</f>
        <v>166096.01284005382</v>
      </c>
      <c r="F29" s="482">
        <v>9257016</v>
      </c>
      <c r="G29" s="482" t="s">
        <v>80</v>
      </c>
      <c r="H29" s="483">
        <v>142.5</v>
      </c>
      <c r="I29" s="476">
        <v>4000</v>
      </c>
      <c r="J29" s="476">
        <f t="shared" si="4"/>
        <v>5537.55</v>
      </c>
      <c r="K29" s="484">
        <f t="shared" si="5"/>
        <v>9537.5499999999993</v>
      </c>
      <c r="L29" s="476"/>
      <c r="M29" s="476"/>
      <c r="N29" s="476"/>
      <c r="O29" s="454"/>
      <c r="P29" s="454"/>
    </row>
    <row r="30" spans="1:16" ht="15" x14ac:dyDescent="0.25">
      <c r="A30" s="485"/>
      <c r="B30" s="489"/>
      <c r="C30" s="490"/>
      <c r="D30" s="447"/>
      <c r="F30" s="482">
        <v>9257031</v>
      </c>
      <c r="G30" s="482" t="s">
        <v>386</v>
      </c>
      <c r="H30" s="483">
        <v>71.166666666666671</v>
      </c>
      <c r="I30" s="476">
        <v>4000</v>
      </c>
      <c r="J30" s="476">
        <f t="shared" si="4"/>
        <v>2765.5366666666669</v>
      </c>
      <c r="K30" s="484">
        <f t="shared" si="5"/>
        <v>6765.5366666666669</v>
      </c>
      <c r="L30" s="476"/>
      <c r="M30" s="476"/>
      <c r="N30" s="476"/>
      <c r="O30" s="454"/>
      <c r="P30" s="454"/>
    </row>
    <row r="31" spans="1:16" x14ac:dyDescent="0.2">
      <c r="B31" t="s">
        <v>387</v>
      </c>
      <c r="C31" s="491">
        <v>166096.01284005385</v>
      </c>
      <c r="F31" s="482">
        <v>9257029</v>
      </c>
      <c r="G31" s="482" t="s">
        <v>388</v>
      </c>
      <c r="H31" s="483">
        <v>41.833333333333336</v>
      </c>
      <c r="I31" s="476">
        <v>4000</v>
      </c>
      <c r="J31" s="476">
        <f t="shared" si="4"/>
        <v>1625.6433333333334</v>
      </c>
      <c r="K31" s="484">
        <f t="shared" si="5"/>
        <v>5625.6433333333334</v>
      </c>
      <c r="L31" s="476"/>
      <c r="M31" s="476"/>
      <c r="N31" s="476"/>
      <c r="O31" s="454"/>
      <c r="P31" s="454"/>
    </row>
    <row r="32" spans="1:16" x14ac:dyDescent="0.2">
      <c r="B32" t="s">
        <v>389</v>
      </c>
      <c r="C32" s="492">
        <f>C31/C29</f>
        <v>8.6209378664194827E-2</v>
      </c>
      <c r="F32" s="482">
        <v>9257032</v>
      </c>
      <c r="G32" s="482" t="s">
        <v>390</v>
      </c>
      <c r="H32" s="483">
        <v>61.166666666666671</v>
      </c>
      <c r="I32" s="476">
        <v>4000</v>
      </c>
      <c r="J32" s="476">
        <f t="shared" si="4"/>
        <v>2376.936666666667</v>
      </c>
      <c r="K32" s="484">
        <f t="shared" si="5"/>
        <v>6376.9366666666665</v>
      </c>
      <c r="L32" s="476"/>
      <c r="M32" s="476"/>
      <c r="N32" s="476"/>
      <c r="O32" s="454"/>
      <c r="P32" s="454"/>
    </row>
    <row r="33" spans="6:16" x14ac:dyDescent="0.2">
      <c r="F33" s="482">
        <v>9257030</v>
      </c>
      <c r="G33" s="482" t="s">
        <v>391</v>
      </c>
      <c r="H33" s="483">
        <v>70</v>
      </c>
      <c r="I33" s="476">
        <v>4000</v>
      </c>
      <c r="J33" s="476">
        <f t="shared" si="4"/>
        <v>2720.2</v>
      </c>
      <c r="K33" s="484">
        <f t="shared" si="5"/>
        <v>6720.2</v>
      </c>
      <c r="L33" s="476"/>
      <c r="M33" s="476"/>
      <c r="N33" s="476"/>
      <c r="O33" s="454"/>
      <c r="P33" s="454"/>
    </row>
    <row r="34" spans="6:16" x14ac:dyDescent="0.2">
      <c r="F34" s="482">
        <v>9257033</v>
      </c>
      <c r="G34" s="482" t="s">
        <v>392</v>
      </c>
      <c r="H34" s="483">
        <v>89.666666666666671</v>
      </c>
      <c r="I34" s="476">
        <v>4000</v>
      </c>
      <c r="J34" s="476">
        <f t="shared" si="4"/>
        <v>3484.4466666666667</v>
      </c>
      <c r="K34" s="484">
        <f t="shared" si="5"/>
        <v>7484.4466666666667</v>
      </c>
      <c r="L34" s="476"/>
      <c r="M34" s="476"/>
      <c r="N34" s="476"/>
      <c r="O34" s="454"/>
      <c r="P34" s="454"/>
    </row>
    <row r="35" spans="6:16" x14ac:dyDescent="0.2">
      <c r="F35" s="482">
        <v>9257034</v>
      </c>
      <c r="G35" s="482" t="s">
        <v>393</v>
      </c>
      <c r="H35" s="483">
        <v>113.33333333333334</v>
      </c>
      <c r="I35" s="476">
        <v>4000</v>
      </c>
      <c r="J35" s="476">
        <f t="shared" si="4"/>
        <v>4404.1333333333332</v>
      </c>
      <c r="K35" s="484">
        <f t="shared" si="5"/>
        <v>8404.1333333333332</v>
      </c>
      <c r="L35" s="476"/>
      <c r="M35" s="476"/>
      <c r="N35" s="476"/>
      <c r="O35" s="454"/>
      <c r="P35" s="454"/>
    </row>
    <row r="36" spans="6:16" x14ac:dyDescent="0.2">
      <c r="F36" s="482"/>
      <c r="G36" s="482"/>
      <c r="H36" s="493">
        <f>SUM(H18:H35)</f>
        <v>1765.0833333333335</v>
      </c>
      <c r="I36" s="494">
        <f>SUM(I18:I35)</f>
        <v>72000</v>
      </c>
      <c r="J36" s="494">
        <f>SUM(J18:J35)</f>
        <v>68591.138333333336</v>
      </c>
      <c r="K36" s="494">
        <f>SUM(K18:K35)</f>
        <v>140591.13833333331</v>
      </c>
      <c r="L36" s="476"/>
      <c r="M36" s="476"/>
      <c r="N36" s="476"/>
      <c r="O36" s="454"/>
      <c r="P36" s="454"/>
    </row>
    <row r="37" spans="6:16" x14ac:dyDescent="0.2">
      <c r="F37" s="482"/>
      <c r="G37" s="482"/>
      <c r="H37" s="483"/>
      <c r="I37" s="476"/>
      <c r="J37" s="476"/>
      <c r="K37" s="476"/>
      <c r="L37" s="476"/>
      <c r="M37" s="476"/>
      <c r="N37" s="476"/>
      <c r="O37" s="454"/>
      <c r="P37" s="454"/>
    </row>
    <row r="38" spans="6:16" x14ac:dyDescent="0.2">
      <c r="F38" s="454"/>
      <c r="G38" s="482" t="s">
        <v>371</v>
      </c>
      <c r="H38" s="495">
        <v>70</v>
      </c>
      <c r="I38" s="476">
        <v>4000</v>
      </c>
      <c r="J38" s="476">
        <f t="shared" si="4"/>
        <v>2720.2</v>
      </c>
      <c r="K38" s="484">
        <f t="shared" ref="K38:K40" si="6">I38+J38</f>
        <v>6720.2</v>
      </c>
      <c r="L38" s="476"/>
      <c r="M38" s="476"/>
      <c r="N38" s="476"/>
      <c r="O38" s="454"/>
      <c r="P38" s="454"/>
    </row>
    <row r="39" spans="6:16" x14ac:dyDescent="0.2">
      <c r="F39" s="454"/>
      <c r="G39" s="482" t="s">
        <v>372</v>
      </c>
      <c r="H39" s="495">
        <v>13</v>
      </c>
      <c r="I39" s="476">
        <v>4000</v>
      </c>
      <c r="J39" s="476">
        <f t="shared" si="4"/>
        <v>505.18</v>
      </c>
      <c r="K39" s="484">
        <f t="shared" si="6"/>
        <v>4505.18</v>
      </c>
      <c r="L39" s="476"/>
      <c r="M39" s="476"/>
      <c r="N39" s="476"/>
      <c r="O39" s="454"/>
      <c r="P39" s="454"/>
    </row>
    <row r="40" spans="6:16" x14ac:dyDescent="0.2">
      <c r="F40" s="454"/>
      <c r="G40" s="482" t="s">
        <v>373</v>
      </c>
      <c r="H40" s="495">
        <v>252</v>
      </c>
      <c r="I40" s="476">
        <v>4000</v>
      </c>
      <c r="J40" s="476">
        <f t="shared" si="4"/>
        <v>9792.7199999999993</v>
      </c>
      <c r="K40" s="484">
        <f t="shared" si="6"/>
        <v>13792.72</v>
      </c>
      <c r="L40" s="476"/>
      <c r="M40" s="476"/>
      <c r="N40" s="476"/>
      <c r="O40" s="454"/>
      <c r="P40" s="454"/>
    </row>
    <row r="41" spans="6:16" ht="13.5" thickBot="1" x14ac:dyDescent="0.25">
      <c r="F41" s="454"/>
      <c r="G41" s="454"/>
      <c r="H41" s="496">
        <f>SUM(H36:H40)</f>
        <v>2100.0833333333335</v>
      </c>
      <c r="I41" s="497">
        <f>SUM(I36:I40)</f>
        <v>84000</v>
      </c>
      <c r="J41" s="497">
        <f>SUM(J36:J40)</f>
        <v>81609.238333333327</v>
      </c>
      <c r="K41" s="476">
        <f>SUM(I41:J41)</f>
        <v>165609.23833333334</v>
      </c>
      <c r="L41" s="476"/>
      <c r="M41" s="476" t="s">
        <v>102</v>
      </c>
      <c r="N41" s="476">
        <f>L12-K41</f>
        <v>5.1459327836346347</v>
      </c>
      <c r="O41" s="454" t="s">
        <v>394</v>
      </c>
      <c r="P41" s="454"/>
    </row>
    <row r="42" spans="6:16" x14ac:dyDescent="0.2">
      <c r="F42" s="454"/>
      <c r="G42" s="454"/>
      <c r="H42" s="476"/>
      <c r="I42" s="476"/>
      <c r="J42" s="476"/>
      <c r="K42" s="476"/>
      <c r="L42" s="476"/>
      <c r="M42" s="476"/>
      <c r="N42" s="476"/>
      <c r="O42" s="454"/>
      <c r="P42" s="454"/>
    </row>
    <row r="43" spans="6:16" x14ac:dyDescent="0.2">
      <c r="F43" s="454"/>
      <c r="G43" s="482" t="s">
        <v>395</v>
      </c>
      <c r="H43" s="479">
        <v>33.75</v>
      </c>
      <c r="I43" s="476">
        <f>H43*H41</f>
        <v>70877.8125</v>
      </c>
      <c r="J43" s="454"/>
      <c r="K43" s="454"/>
      <c r="L43" s="454"/>
      <c r="M43" s="454"/>
      <c r="N43" s="454"/>
      <c r="O43" s="454"/>
      <c r="P43" s="454"/>
    </row>
    <row r="44" spans="6:16" x14ac:dyDescent="0.2">
      <c r="H44" s="2"/>
      <c r="I44" s="20"/>
    </row>
    <row r="45" spans="6:16" x14ac:dyDescent="0.2">
      <c r="G45" s="477" t="s">
        <v>374</v>
      </c>
      <c r="H45" s="476"/>
      <c r="I45" s="476">
        <f>I41+I43</f>
        <v>154877.8125</v>
      </c>
    </row>
    <row r="46" spans="6:16" x14ac:dyDescent="0.2">
      <c r="G46" s="477"/>
      <c r="H46" s="477"/>
      <c r="I46" s="476"/>
    </row>
    <row r="47" spans="6:16" x14ac:dyDescent="0.2">
      <c r="G47" s="498" t="s">
        <v>396</v>
      </c>
      <c r="H47" s="498"/>
      <c r="I47" s="499">
        <v>165617.39179125501</v>
      </c>
    </row>
    <row r="48" spans="6:16" x14ac:dyDescent="0.2">
      <c r="G48" s="477"/>
      <c r="H48" s="477"/>
      <c r="I48" s="477"/>
    </row>
    <row r="49" spans="7:10" x14ac:dyDescent="0.2">
      <c r="G49" s="477" t="s">
        <v>397</v>
      </c>
      <c r="H49" s="477"/>
      <c r="I49" s="476">
        <f>I47-I45</f>
        <v>10739.57929125501</v>
      </c>
    </row>
    <row r="50" spans="7:10" ht="13.5" thickBot="1" x14ac:dyDescent="0.25">
      <c r="G50" s="477"/>
      <c r="H50" s="477"/>
      <c r="I50" s="477"/>
    </row>
    <row r="51" spans="7:10" ht="13.5" thickBot="1" x14ac:dyDescent="0.25">
      <c r="G51" s="477" t="s">
        <v>398</v>
      </c>
      <c r="H51" s="500"/>
      <c r="I51" s="501">
        <f>I49/H41</f>
        <v>5.1138824449450464</v>
      </c>
    </row>
    <row r="52" spans="7:10" x14ac:dyDescent="0.2">
      <c r="H52" s="502"/>
      <c r="I52" s="503"/>
    </row>
    <row r="53" spans="7:10" ht="13.5" thickBot="1" x14ac:dyDescent="0.25">
      <c r="G53" s="454" t="s">
        <v>399</v>
      </c>
      <c r="H53" s="454"/>
      <c r="I53" s="479">
        <f>I51+H43</f>
        <v>38.863882444945048</v>
      </c>
      <c r="J53" s="454"/>
    </row>
    <row r="54" spans="7:10" ht="13.5" thickBot="1" x14ac:dyDescent="0.25">
      <c r="G54" s="454"/>
      <c r="H54" s="454" t="s">
        <v>400</v>
      </c>
      <c r="I54" s="504">
        <v>38.86</v>
      </c>
      <c r="J54" s="454"/>
    </row>
    <row r="55" spans="7:10" x14ac:dyDescent="0.2">
      <c r="G55" s="454"/>
      <c r="H55" s="454"/>
      <c r="I55" s="454"/>
      <c r="J55" s="454"/>
    </row>
    <row r="56" spans="7:10" x14ac:dyDescent="0.2">
      <c r="G56" s="454"/>
      <c r="H56" s="454"/>
      <c r="I56" s="454"/>
      <c r="J56" s="45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I20" sqref="I20"/>
    </sheetView>
  </sheetViews>
  <sheetFormatPr defaultRowHeight="12.75" x14ac:dyDescent="0.2"/>
  <cols>
    <col min="10" max="11" width="11.28515625" customWidth="1"/>
  </cols>
  <sheetData>
    <row r="1" spans="1:13" ht="18" x14ac:dyDescent="0.25">
      <c r="A1" s="38"/>
      <c r="B1" s="48" t="s">
        <v>351</v>
      </c>
      <c r="C1" s="37"/>
      <c r="D1" s="45"/>
      <c r="E1" s="45"/>
      <c r="F1" s="45"/>
      <c r="G1" s="45"/>
      <c r="H1" s="38"/>
      <c r="I1" s="44"/>
      <c r="J1" s="44"/>
      <c r="K1" s="44"/>
      <c r="L1" s="45"/>
      <c r="M1" s="45"/>
    </row>
    <row r="2" spans="1:13" x14ac:dyDescent="0.2">
      <c r="A2" s="38">
        <v>1</v>
      </c>
      <c r="B2" s="52">
        <v>2</v>
      </c>
      <c r="C2" s="52">
        <v>3</v>
      </c>
      <c r="D2" s="45">
        <v>4</v>
      </c>
      <c r="E2" s="45">
        <v>5</v>
      </c>
      <c r="F2" s="45">
        <v>6</v>
      </c>
      <c r="G2" s="45">
        <v>7</v>
      </c>
      <c r="H2" s="38">
        <v>8</v>
      </c>
      <c r="I2" s="44">
        <v>9</v>
      </c>
      <c r="J2" s="44">
        <v>10</v>
      </c>
      <c r="K2" s="44">
        <v>11</v>
      </c>
      <c r="L2" s="45">
        <v>12</v>
      </c>
      <c r="M2" s="81">
        <v>13</v>
      </c>
    </row>
    <row r="3" spans="1:13" s="505" customFormat="1" ht="51" x14ac:dyDescent="0.2">
      <c r="A3" s="240" t="s">
        <v>268</v>
      </c>
      <c r="B3" s="239" t="s">
        <v>66</v>
      </c>
      <c r="C3" s="174" t="s">
        <v>52</v>
      </c>
      <c r="D3" s="146" t="s">
        <v>20</v>
      </c>
      <c r="E3" s="146" t="s">
        <v>21</v>
      </c>
      <c r="F3" s="70" t="s">
        <v>64</v>
      </c>
      <c r="G3" s="70" t="s">
        <v>114</v>
      </c>
      <c r="H3" s="70" t="s">
        <v>103</v>
      </c>
      <c r="I3" s="174" t="s">
        <v>201</v>
      </c>
      <c r="J3" s="174" t="s">
        <v>237</v>
      </c>
      <c r="K3" s="506" t="s">
        <v>363</v>
      </c>
      <c r="L3" s="70" t="s">
        <v>104</v>
      </c>
      <c r="M3" s="70" t="s">
        <v>328</v>
      </c>
    </row>
    <row r="4" spans="1:13"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SUM(D4:J4)*0.005</f>
        <v>2968.6413267035114</v>
      </c>
      <c r="L4" s="100">
        <f>SUM(D4:K4)</f>
        <v>596696.90666740574</v>
      </c>
      <c r="M4" s="142">
        <f>'Band Calculations'!K24</f>
        <v>20</v>
      </c>
    </row>
    <row r="5" spans="1:13" x14ac:dyDescent="0.2">
      <c r="A5" s="295">
        <v>9257003</v>
      </c>
      <c r="B5" s="138" t="s">
        <v>138</v>
      </c>
      <c r="C5" s="138"/>
      <c r="D5" s="100">
        <f>'Funding Model'!D28</f>
        <v>120796.88938648649</v>
      </c>
      <c r="E5" s="100">
        <f>'Funding Model'!E28</f>
        <v>18681.5</v>
      </c>
      <c r="F5" s="100"/>
      <c r="G5" s="100"/>
      <c r="H5" s="344">
        <f>'Band Calculations 17-18'!U25</f>
        <v>151996.26829525823</v>
      </c>
      <c r="I5" s="344">
        <v>0</v>
      </c>
      <c r="J5" s="344">
        <v>516.53498112061106</v>
      </c>
      <c r="K5" s="100">
        <f>SUM(D5:J5)*0.005</f>
        <v>1459.9559633143267</v>
      </c>
      <c r="L5" s="344">
        <f>SUM(D5:K5)</f>
        <v>293451.14862617967</v>
      </c>
      <c r="M5" s="345">
        <v>13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sqref="A1:XFD1048576"/>
    </sheetView>
  </sheetViews>
  <sheetFormatPr defaultRowHeight="12.75" x14ac:dyDescent="0.2"/>
  <cols>
    <col min="10" max="11" width="11.28515625" customWidth="1"/>
  </cols>
  <sheetData>
    <row r="1" spans="1:13" ht="18" x14ac:dyDescent="0.25">
      <c r="A1" s="38"/>
      <c r="B1" s="48" t="s">
        <v>351</v>
      </c>
      <c r="C1" s="37"/>
      <c r="D1" s="45"/>
      <c r="E1" s="45"/>
      <c r="F1" s="45"/>
      <c r="G1" s="45"/>
      <c r="H1" s="38"/>
      <c r="I1" s="44"/>
      <c r="J1" s="44"/>
      <c r="K1" s="44"/>
      <c r="L1" s="45"/>
      <c r="M1" s="45"/>
    </row>
    <row r="2" spans="1:13" x14ac:dyDescent="0.2">
      <c r="A2" s="38">
        <v>1</v>
      </c>
      <c r="B2" s="52">
        <v>2</v>
      </c>
      <c r="C2" s="52">
        <v>3</v>
      </c>
      <c r="D2" s="45">
        <v>4</v>
      </c>
      <c r="E2" s="45">
        <v>5</v>
      </c>
      <c r="F2" s="45">
        <v>6</v>
      </c>
      <c r="G2" s="45">
        <v>7</v>
      </c>
      <c r="H2" s="38">
        <v>8</v>
      </c>
      <c r="I2" s="44">
        <v>9</v>
      </c>
      <c r="J2" s="44">
        <v>10</v>
      </c>
      <c r="K2" s="44"/>
      <c r="L2" s="45">
        <v>11</v>
      </c>
      <c r="M2" s="81">
        <v>12</v>
      </c>
    </row>
    <row r="3" spans="1:13" s="505" customFormat="1" ht="51" x14ac:dyDescent="0.2">
      <c r="A3" s="240" t="s">
        <v>268</v>
      </c>
      <c r="B3" s="239" t="s">
        <v>66</v>
      </c>
      <c r="C3" s="174" t="s">
        <v>52</v>
      </c>
      <c r="D3" s="146" t="s">
        <v>20</v>
      </c>
      <c r="E3" s="146" t="s">
        <v>21</v>
      </c>
      <c r="F3" s="70" t="s">
        <v>64</v>
      </c>
      <c r="G3" s="70" t="s">
        <v>114</v>
      </c>
      <c r="H3" s="70" t="s">
        <v>103</v>
      </c>
      <c r="I3" s="174" t="s">
        <v>201</v>
      </c>
      <c r="J3" s="174" t="s">
        <v>237</v>
      </c>
      <c r="K3" s="506" t="s">
        <v>401</v>
      </c>
      <c r="L3" s="70" t="s">
        <v>104</v>
      </c>
      <c r="M3" s="70" t="s">
        <v>328</v>
      </c>
    </row>
    <row r="4" spans="1:13"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SUM(D4:J4)*0.01</f>
        <v>5937.2826534070227</v>
      </c>
      <c r="L4" s="100">
        <f>SUM(D4:K4)</f>
        <v>599665.54799410934</v>
      </c>
      <c r="M4" s="142">
        <f>'Band Calculations'!K24</f>
        <v>20</v>
      </c>
    </row>
    <row r="5" spans="1:13" x14ac:dyDescent="0.2">
      <c r="A5" s="295">
        <v>9257003</v>
      </c>
      <c r="B5" s="138" t="s">
        <v>138</v>
      </c>
      <c r="C5" s="138"/>
      <c r="D5" s="100">
        <f>'Funding Model'!D28</f>
        <v>120796.88938648649</v>
      </c>
      <c r="E5" s="100">
        <f>'Funding Model'!E28</f>
        <v>18681.5</v>
      </c>
      <c r="F5" s="100"/>
      <c r="G5" s="100"/>
      <c r="H5" s="344">
        <f>'Band Calculations 17-18'!U25</f>
        <v>151996.26829525823</v>
      </c>
      <c r="I5" s="344">
        <v>0</v>
      </c>
      <c r="J5" s="344">
        <v>516.53498112061106</v>
      </c>
      <c r="K5" s="100">
        <f>SUM(D5:J5)*0.01</f>
        <v>2919.9119266286534</v>
      </c>
      <c r="L5" s="344">
        <f>SUM(D5:K5)</f>
        <v>294911.104589494</v>
      </c>
      <c r="M5" s="345">
        <v>13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K5" sqref="K5"/>
    </sheetView>
  </sheetViews>
  <sheetFormatPr defaultRowHeight="12.75" x14ac:dyDescent="0.2"/>
  <cols>
    <col min="10" max="11" width="11.28515625" customWidth="1"/>
  </cols>
  <sheetData>
    <row r="1" spans="1:13" ht="18" x14ac:dyDescent="0.25">
      <c r="A1" s="38"/>
      <c r="B1" s="48" t="s">
        <v>351</v>
      </c>
      <c r="C1" s="37"/>
      <c r="D1" s="45"/>
      <c r="E1" s="45"/>
      <c r="F1" s="45"/>
      <c r="G1" s="45"/>
      <c r="H1" s="38"/>
      <c r="I1" s="44"/>
      <c r="J1" s="44"/>
      <c r="K1" s="44"/>
      <c r="L1" s="45"/>
      <c r="M1" s="45"/>
    </row>
    <row r="2" spans="1:13" x14ac:dyDescent="0.2">
      <c r="A2" s="38">
        <v>1</v>
      </c>
      <c r="B2" s="52">
        <v>2</v>
      </c>
      <c r="C2" s="52">
        <v>3</v>
      </c>
      <c r="D2" s="45">
        <v>4</v>
      </c>
      <c r="E2" s="45">
        <v>5</v>
      </c>
      <c r="F2" s="45">
        <v>6</v>
      </c>
      <c r="G2" s="45">
        <v>7</v>
      </c>
      <c r="H2" s="38">
        <v>8</v>
      </c>
      <c r="I2" s="44">
        <v>9</v>
      </c>
      <c r="J2" s="44">
        <v>10</v>
      </c>
      <c r="K2" s="44"/>
      <c r="L2" s="45">
        <v>11</v>
      </c>
      <c r="M2" s="81">
        <v>12</v>
      </c>
    </row>
    <row r="3" spans="1:13" s="507" customFormat="1" ht="51" x14ac:dyDescent="0.2">
      <c r="A3" s="240" t="s">
        <v>268</v>
      </c>
      <c r="B3" s="239" t="s">
        <v>66</v>
      </c>
      <c r="C3" s="174" t="s">
        <v>52</v>
      </c>
      <c r="D3" s="146" t="s">
        <v>20</v>
      </c>
      <c r="E3" s="146" t="s">
        <v>21</v>
      </c>
      <c r="F3" s="70" t="s">
        <v>64</v>
      </c>
      <c r="G3" s="70" t="s">
        <v>114</v>
      </c>
      <c r="H3" s="70" t="s">
        <v>103</v>
      </c>
      <c r="I3" s="174" t="s">
        <v>201</v>
      </c>
      <c r="J3" s="174" t="s">
        <v>237</v>
      </c>
      <c r="K3" s="506" t="s">
        <v>401</v>
      </c>
      <c r="L3" s="70" t="s">
        <v>104</v>
      </c>
      <c r="M3" s="70" t="s">
        <v>328</v>
      </c>
    </row>
    <row r="4" spans="1:13"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SUM(D4:J4)*0.01</f>
        <v>5937.2826534070227</v>
      </c>
      <c r="L4" s="100">
        <f>SUM(D4:K4)</f>
        <v>599665.54799410934</v>
      </c>
      <c r="M4" s="142">
        <f>'Band Calculations'!K24</f>
        <v>20</v>
      </c>
    </row>
    <row r="5" spans="1:13" x14ac:dyDescent="0.2">
      <c r="A5" s="295">
        <v>9257003</v>
      </c>
      <c r="B5" s="138" t="s">
        <v>138</v>
      </c>
      <c r="C5" s="138"/>
      <c r="D5" s="100">
        <f>'Funding Model'!D28</f>
        <v>120796.88938648649</v>
      </c>
      <c r="E5" s="100">
        <f>'Funding Model'!E28</f>
        <v>18681.5</v>
      </c>
      <c r="F5" s="100"/>
      <c r="G5" s="100"/>
      <c r="H5" s="344">
        <f>'Band Calculations 17-18'!U25</f>
        <v>151996.26829525823</v>
      </c>
      <c r="I5" s="344">
        <v>0</v>
      </c>
      <c r="J5" s="344">
        <v>516.53498112061106</v>
      </c>
      <c r="K5" s="100">
        <f>SUM(D5:J5)*0.01</f>
        <v>2919.9119266286534</v>
      </c>
      <c r="L5" s="344">
        <f>SUM(D5:K5)</f>
        <v>294911.104589494</v>
      </c>
      <c r="M5" s="345">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47"/>
  <sheetViews>
    <sheetView zoomScale="85" zoomScaleNormal="85" workbookViewId="0">
      <selection activeCell="S2" sqref="S2"/>
    </sheetView>
  </sheetViews>
  <sheetFormatPr defaultColWidth="8.7109375" defaultRowHeight="12.75" x14ac:dyDescent="0.2"/>
  <cols>
    <col min="1" max="16384" width="8.7109375" style="158"/>
  </cols>
  <sheetData>
    <row r="1" spans="1:17" x14ac:dyDescent="0.2">
      <c r="A1" s="543" t="s">
        <v>436</v>
      </c>
      <c r="B1" s="544"/>
      <c r="C1" s="544"/>
      <c r="D1" s="544"/>
      <c r="E1" s="544"/>
      <c r="F1" s="544"/>
      <c r="G1" s="544"/>
      <c r="H1" s="544"/>
      <c r="I1" s="544"/>
      <c r="J1" s="544"/>
      <c r="K1" s="544"/>
      <c r="L1" s="544"/>
      <c r="M1" s="544"/>
      <c r="N1" s="544"/>
      <c r="O1" s="544"/>
      <c r="P1" s="544"/>
      <c r="Q1" s="544"/>
    </row>
    <row r="2" spans="1:17" x14ac:dyDescent="0.2">
      <c r="A2" s="544"/>
      <c r="B2" s="544"/>
      <c r="C2" s="544"/>
      <c r="D2" s="544"/>
      <c r="E2" s="544"/>
      <c r="F2" s="544"/>
      <c r="G2" s="544"/>
      <c r="H2" s="544"/>
      <c r="I2" s="544"/>
      <c r="J2" s="544"/>
      <c r="K2" s="544"/>
      <c r="L2" s="544"/>
      <c r="M2" s="544"/>
      <c r="N2" s="544"/>
      <c r="O2" s="544"/>
      <c r="P2" s="544"/>
      <c r="Q2" s="544"/>
    </row>
    <row r="3" spans="1:17" x14ac:dyDescent="0.2">
      <c r="A3" s="544"/>
      <c r="B3" s="544"/>
      <c r="C3" s="544"/>
      <c r="D3" s="544"/>
      <c r="E3" s="544"/>
      <c r="F3" s="544"/>
      <c r="G3" s="544"/>
      <c r="H3" s="544"/>
      <c r="I3" s="544"/>
      <c r="J3" s="544"/>
      <c r="K3" s="544"/>
      <c r="L3" s="544"/>
      <c r="M3" s="544"/>
      <c r="N3" s="544"/>
      <c r="O3" s="544"/>
      <c r="P3" s="544"/>
      <c r="Q3" s="544"/>
    </row>
    <row r="4" spans="1:17" x14ac:dyDescent="0.2">
      <c r="A4" s="544"/>
      <c r="B4" s="544"/>
      <c r="C4" s="544"/>
      <c r="D4" s="544"/>
      <c r="E4" s="544"/>
      <c r="F4" s="544"/>
      <c r="G4" s="544"/>
      <c r="H4" s="544"/>
      <c r="I4" s="544"/>
      <c r="J4" s="544"/>
      <c r="K4" s="544"/>
      <c r="L4" s="544"/>
      <c r="M4" s="544"/>
      <c r="N4" s="544"/>
      <c r="O4" s="544"/>
      <c r="P4" s="544"/>
      <c r="Q4" s="544"/>
    </row>
    <row r="5" spans="1:17" x14ac:dyDescent="0.2">
      <c r="A5" s="544"/>
      <c r="B5" s="544"/>
      <c r="C5" s="544"/>
      <c r="D5" s="544"/>
      <c r="E5" s="544"/>
      <c r="F5" s="544"/>
      <c r="G5" s="544"/>
      <c r="H5" s="544"/>
      <c r="I5" s="544"/>
      <c r="J5" s="544"/>
      <c r="K5" s="544"/>
      <c r="L5" s="544"/>
      <c r="M5" s="544"/>
      <c r="N5" s="544"/>
      <c r="O5" s="544"/>
      <c r="P5" s="544"/>
      <c r="Q5" s="544"/>
    </row>
    <row r="6" spans="1:17" x14ac:dyDescent="0.2">
      <c r="A6" s="544"/>
      <c r="B6" s="544"/>
      <c r="C6" s="544"/>
      <c r="D6" s="544"/>
      <c r="E6" s="544"/>
      <c r="F6" s="544"/>
      <c r="G6" s="544"/>
      <c r="H6" s="544"/>
      <c r="I6" s="544"/>
      <c r="J6" s="544"/>
      <c r="K6" s="544"/>
      <c r="L6" s="544"/>
      <c r="M6" s="544"/>
      <c r="N6" s="544"/>
      <c r="O6" s="544"/>
      <c r="P6" s="544"/>
      <c r="Q6" s="544"/>
    </row>
    <row r="7" spans="1:17" x14ac:dyDescent="0.2">
      <c r="A7" s="544"/>
      <c r="B7" s="544"/>
      <c r="C7" s="544"/>
      <c r="D7" s="544"/>
      <c r="E7" s="544"/>
      <c r="F7" s="544"/>
      <c r="G7" s="544"/>
      <c r="H7" s="544"/>
      <c r="I7" s="544"/>
      <c r="J7" s="544"/>
      <c r="K7" s="544"/>
      <c r="L7" s="544"/>
      <c r="M7" s="544"/>
      <c r="N7" s="544"/>
      <c r="O7" s="544"/>
      <c r="P7" s="544"/>
      <c r="Q7" s="544"/>
    </row>
    <row r="8" spans="1:17" x14ac:dyDescent="0.2">
      <c r="A8" s="544"/>
      <c r="B8" s="544"/>
      <c r="C8" s="544"/>
      <c r="D8" s="544"/>
      <c r="E8" s="544"/>
      <c r="F8" s="544"/>
      <c r="G8" s="544"/>
      <c r="H8" s="544"/>
      <c r="I8" s="544"/>
      <c r="J8" s="544"/>
      <c r="K8" s="544"/>
      <c r="L8" s="544"/>
      <c r="M8" s="544"/>
      <c r="N8" s="544"/>
      <c r="O8" s="544"/>
      <c r="P8" s="544"/>
      <c r="Q8" s="544"/>
    </row>
    <row r="9" spans="1:17" x14ac:dyDescent="0.2">
      <c r="A9" s="544"/>
      <c r="B9" s="544"/>
      <c r="C9" s="544"/>
      <c r="D9" s="544"/>
      <c r="E9" s="544"/>
      <c r="F9" s="544"/>
      <c r="G9" s="544"/>
      <c r="H9" s="544"/>
      <c r="I9" s="544"/>
      <c r="J9" s="544"/>
      <c r="K9" s="544"/>
      <c r="L9" s="544"/>
      <c r="M9" s="544"/>
      <c r="N9" s="544"/>
      <c r="O9" s="544"/>
      <c r="P9" s="544"/>
      <c r="Q9" s="544"/>
    </row>
    <row r="10" spans="1:17" x14ac:dyDescent="0.2">
      <c r="A10" s="544"/>
      <c r="B10" s="544"/>
      <c r="C10" s="544"/>
      <c r="D10" s="544"/>
      <c r="E10" s="544"/>
      <c r="F10" s="544"/>
      <c r="G10" s="544"/>
      <c r="H10" s="544"/>
      <c r="I10" s="544"/>
      <c r="J10" s="544"/>
      <c r="K10" s="544"/>
      <c r="L10" s="544"/>
      <c r="M10" s="544"/>
      <c r="N10" s="544"/>
      <c r="O10" s="544"/>
      <c r="P10" s="544"/>
      <c r="Q10" s="544"/>
    </row>
    <row r="11" spans="1:17" x14ac:dyDescent="0.2">
      <c r="A11" s="544"/>
      <c r="B11" s="544"/>
      <c r="C11" s="544"/>
      <c r="D11" s="544"/>
      <c r="E11" s="544"/>
      <c r="F11" s="544"/>
      <c r="G11" s="544"/>
      <c r="H11" s="544"/>
      <c r="I11" s="544"/>
      <c r="J11" s="544"/>
      <c r="K11" s="544"/>
      <c r="L11" s="544"/>
      <c r="M11" s="544"/>
      <c r="N11" s="544"/>
      <c r="O11" s="544"/>
      <c r="P11" s="544"/>
      <c r="Q11" s="544"/>
    </row>
    <row r="12" spans="1:17" x14ac:dyDescent="0.2">
      <c r="A12" s="544"/>
      <c r="B12" s="544"/>
      <c r="C12" s="544"/>
      <c r="D12" s="544"/>
      <c r="E12" s="544"/>
      <c r="F12" s="544"/>
      <c r="G12" s="544"/>
      <c r="H12" s="544"/>
      <c r="I12" s="544"/>
      <c r="J12" s="544"/>
      <c r="K12" s="544"/>
      <c r="L12" s="544"/>
      <c r="M12" s="544"/>
      <c r="N12" s="544"/>
      <c r="O12" s="544"/>
      <c r="P12" s="544"/>
      <c r="Q12" s="544"/>
    </row>
    <row r="13" spans="1:17" x14ac:dyDescent="0.2">
      <c r="A13" s="544"/>
      <c r="B13" s="544"/>
      <c r="C13" s="544"/>
      <c r="D13" s="544"/>
      <c r="E13" s="544"/>
      <c r="F13" s="544"/>
      <c r="G13" s="544"/>
      <c r="H13" s="544"/>
      <c r="I13" s="544"/>
      <c r="J13" s="544"/>
      <c r="K13" s="544"/>
      <c r="L13" s="544"/>
      <c r="M13" s="544"/>
      <c r="N13" s="544"/>
      <c r="O13" s="544"/>
      <c r="P13" s="544"/>
      <c r="Q13" s="544"/>
    </row>
    <row r="14" spans="1:17" x14ac:dyDescent="0.2">
      <c r="A14" s="544"/>
      <c r="B14" s="544"/>
      <c r="C14" s="544"/>
      <c r="D14" s="544"/>
      <c r="E14" s="544"/>
      <c r="F14" s="544"/>
      <c r="G14" s="544"/>
      <c r="H14" s="544"/>
      <c r="I14" s="544"/>
      <c r="J14" s="544"/>
      <c r="K14" s="544"/>
      <c r="L14" s="544"/>
      <c r="M14" s="544"/>
      <c r="N14" s="544"/>
      <c r="O14" s="544"/>
      <c r="P14" s="544"/>
      <c r="Q14" s="544"/>
    </row>
    <row r="15" spans="1:17" x14ac:dyDescent="0.2">
      <c r="A15" s="544"/>
      <c r="B15" s="544"/>
      <c r="C15" s="544"/>
      <c r="D15" s="544"/>
      <c r="E15" s="544"/>
      <c r="F15" s="544"/>
      <c r="G15" s="544"/>
      <c r="H15" s="544"/>
      <c r="I15" s="544"/>
      <c r="J15" s="544"/>
      <c r="K15" s="544"/>
      <c r="L15" s="544"/>
      <c r="M15" s="544"/>
      <c r="N15" s="544"/>
      <c r="O15" s="544"/>
      <c r="P15" s="544"/>
      <c r="Q15" s="544"/>
    </row>
    <row r="16" spans="1:17" x14ac:dyDescent="0.2">
      <c r="A16" s="544"/>
      <c r="B16" s="544"/>
      <c r="C16" s="544"/>
      <c r="D16" s="544"/>
      <c r="E16" s="544"/>
      <c r="F16" s="544"/>
      <c r="G16" s="544"/>
      <c r="H16" s="544"/>
      <c r="I16" s="544"/>
      <c r="J16" s="544"/>
      <c r="K16" s="544"/>
      <c r="L16" s="544"/>
      <c r="M16" s="544"/>
      <c r="N16" s="544"/>
      <c r="O16" s="544"/>
      <c r="P16" s="544"/>
      <c r="Q16" s="544"/>
    </row>
    <row r="17" spans="1:17" x14ac:dyDescent="0.2">
      <c r="A17" s="544"/>
      <c r="B17" s="544"/>
      <c r="C17" s="544"/>
      <c r="D17" s="544"/>
      <c r="E17" s="544"/>
      <c r="F17" s="544"/>
      <c r="G17" s="544"/>
      <c r="H17" s="544"/>
      <c r="I17" s="544"/>
      <c r="J17" s="544"/>
      <c r="K17" s="544"/>
      <c r="L17" s="544"/>
      <c r="M17" s="544"/>
      <c r="N17" s="544"/>
      <c r="O17" s="544"/>
      <c r="P17" s="544"/>
      <c r="Q17" s="544"/>
    </row>
    <row r="18" spans="1:17" x14ac:dyDescent="0.2">
      <c r="A18" s="544"/>
      <c r="B18" s="544"/>
      <c r="C18" s="544"/>
      <c r="D18" s="544"/>
      <c r="E18" s="544"/>
      <c r="F18" s="544"/>
      <c r="G18" s="544"/>
      <c r="H18" s="544"/>
      <c r="I18" s="544"/>
      <c r="J18" s="544"/>
      <c r="K18" s="544"/>
      <c r="L18" s="544"/>
      <c r="M18" s="544"/>
      <c r="N18" s="544"/>
      <c r="O18" s="544"/>
      <c r="P18" s="544"/>
      <c r="Q18" s="544"/>
    </row>
    <row r="19" spans="1:17" x14ac:dyDescent="0.2">
      <c r="A19" s="544"/>
      <c r="B19" s="544"/>
      <c r="C19" s="544"/>
      <c r="D19" s="544"/>
      <c r="E19" s="544"/>
      <c r="F19" s="544"/>
      <c r="G19" s="544"/>
      <c r="H19" s="544"/>
      <c r="I19" s="544"/>
      <c r="J19" s="544"/>
      <c r="K19" s="544"/>
      <c r="L19" s="544"/>
      <c r="M19" s="544"/>
      <c r="N19" s="544"/>
      <c r="O19" s="544"/>
      <c r="P19" s="544"/>
      <c r="Q19" s="544"/>
    </row>
    <row r="20" spans="1:17" x14ac:dyDescent="0.2">
      <c r="A20" s="544"/>
      <c r="B20" s="544"/>
      <c r="C20" s="544"/>
      <c r="D20" s="544"/>
      <c r="E20" s="544"/>
      <c r="F20" s="544"/>
      <c r="G20" s="544"/>
      <c r="H20" s="544"/>
      <c r="I20" s="544"/>
      <c r="J20" s="544"/>
      <c r="K20" s="544"/>
      <c r="L20" s="544"/>
      <c r="M20" s="544"/>
      <c r="N20" s="544"/>
      <c r="O20" s="544"/>
      <c r="P20" s="544"/>
      <c r="Q20" s="544"/>
    </row>
    <row r="21" spans="1:17" x14ac:dyDescent="0.2">
      <c r="A21" s="544"/>
      <c r="B21" s="544"/>
      <c r="C21" s="544"/>
      <c r="D21" s="544"/>
      <c r="E21" s="544"/>
      <c r="F21" s="544"/>
      <c r="G21" s="544"/>
      <c r="H21" s="544"/>
      <c r="I21" s="544"/>
      <c r="J21" s="544"/>
      <c r="K21" s="544"/>
      <c r="L21" s="544"/>
      <c r="M21" s="544"/>
      <c r="N21" s="544"/>
      <c r="O21" s="544"/>
      <c r="P21" s="544"/>
      <c r="Q21" s="544"/>
    </row>
    <row r="22" spans="1:17" x14ac:dyDescent="0.2">
      <c r="A22" s="544"/>
      <c r="B22" s="544"/>
      <c r="C22" s="544"/>
      <c r="D22" s="544"/>
      <c r="E22" s="544"/>
      <c r="F22" s="544"/>
      <c r="G22" s="544"/>
      <c r="H22" s="544"/>
      <c r="I22" s="544"/>
      <c r="J22" s="544"/>
      <c r="K22" s="544"/>
      <c r="L22" s="544"/>
      <c r="M22" s="544"/>
      <c r="N22" s="544"/>
      <c r="O22" s="544"/>
      <c r="P22" s="544"/>
      <c r="Q22" s="544"/>
    </row>
    <row r="23" spans="1:17" x14ac:dyDescent="0.2">
      <c r="A23" s="544"/>
      <c r="B23" s="544"/>
      <c r="C23" s="544"/>
      <c r="D23" s="544"/>
      <c r="E23" s="544"/>
      <c r="F23" s="544"/>
      <c r="G23" s="544"/>
      <c r="H23" s="544"/>
      <c r="I23" s="544"/>
      <c r="J23" s="544"/>
      <c r="K23" s="544"/>
      <c r="L23" s="544"/>
      <c r="M23" s="544"/>
      <c r="N23" s="544"/>
      <c r="O23" s="544"/>
      <c r="P23" s="544"/>
      <c r="Q23" s="544"/>
    </row>
    <row r="24" spans="1:17" x14ac:dyDescent="0.2">
      <c r="A24" s="544"/>
      <c r="B24" s="544"/>
      <c r="C24" s="544"/>
      <c r="D24" s="544"/>
      <c r="E24" s="544"/>
      <c r="F24" s="544"/>
      <c r="G24" s="544"/>
      <c r="H24" s="544"/>
      <c r="I24" s="544"/>
      <c r="J24" s="544"/>
      <c r="K24" s="544"/>
      <c r="L24" s="544"/>
      <c r="M24" s="544"/>
      <c r="N24" s="544"/>
      <c r="O24" s="544"/>
      <c r="P24" s="544"/>
      <c r="Q24" s="544"/>
    </row>
    <row r="25" spans="1:17" x14ac:dyDescent="0.2">
      <c r="A25" s="544"/>
      <c r="B25" s="544"/>
      <c r="C25" s="544"/>
      <c r="D25" s="544"/>
      <c r="E25" s="544"/>
      <c r="F25" s="544"/>
      <c r="G25" s="544"/>
      <c r="H25" s="544"/>
      <c r="I25" s="544"/>
      <c r="J25" s="544"/>
      <c r="K25" s="544"/>
      <c r="L25" s="544"/>
      <c r="M25" s="544"/>
      <c r="N25" s="544"/>
      <c r="O25" s="544"/>
      <c r="P25" s="544"/>
      <c r="Q25" s="544"/>
    </row>
    <row r="26" spans="1:17" x14ac:dyDescent="0.2">
      <c r="A26" s="544"/>
      <c r="B26" s="544"/>
      <c r="C26" s="544"/>
      <c r="D26" s="544"/>
      <c r="E26" s="544"/>
      <c r="F26" s="544"/>
      <c r="G26" s="544"/>
      <c r="H26" s="544"/>
      <c r="I26" s="544"/>
      <c r="J26" s="544"/>
      <c r="K26" s="544"/>
      <c r="L26" s="544"/>
      <c r="M26" s="544"/>
      <c r="N26" s="544"/>
      <c r="O26" s="544"/>
      <c r="P26" s="544"/>
      <c r="Q26" s="544"/>
    </row>
    <row r="27" spans="1:17" x14ac:dyDescent="0.2">
      <c r="A27" s="544"/>
      <c r="B27" s="544"/>
      <c r="C27" s="544"/>
      <c r="D27" s="544"/>
      <c r="E27" s="544"/>
      <c r="F27" s="544"/>
      <c r="G27" s="544"/>
      <c r="H27" s="544"/>
      <c r="I27" s="544"/>
      <c r="J27" s="544"/>
      <c r="K27" s="544"/>
      <c r="L27" s="544"/>
      <c r="M27" s="544"/>
      <c r="N27" s="544"/>
      <c r="O27" s="544"/>
      <c r="P27" s="544"/>
      <c r="Q27" s="544"/>
    </row>
    <row r="28" spans="1:17" x14ac:dyDescent="0.2">
      <c r="A28" s="544"/>
      <c r="B28" s="544"/>
      <c r="C28" s="544"/>
      <c r="D28" s="544"/>
      <c r="E28" s="544"/>
      <c r="F28" s="544"/>
      <c r="G28" s="544"/>
      <c r="H28" s="544"/>
      <c r="I28" s="544"/>
      <c r="J28" s="544"/>
      <c r="K28" s="544"/>
      <c r="L28" s="544"/>
      <c r="M28" s="544"/>
      <c r="N28" s="544"/>
      <c r="O28" s="544"/>
      <c r="P28" s="544"/>
      <c r="Q28" s="544"/>
    </row>
    <row r="29" spans="1:17" x14ac:dyDescent="0.2">
      <c r="A29" s="544"/>
      <c r="B29" s="544"/>
      <c r="C29" s="544"/>
      <c r="D29" s="544"/>
      <c r="E29" s="544"/>
      <c r="F29" s="544"/>
      <c r="G29" s="544"/>
      <c r="H29" s="544"/>
      <c r="I29" s="544"/>
      <c r="J29" s="544"/>
      <c r="K29" s="544"/>
      <c r="L29" s="544"/>
      <c r="M29" s="544"/>
      <c r="N29" s="544"/>
      <c r="O29" s="544"/>
      <c r="P29" s="544"/>
      <c r="Q29" s="544"/>
    </row>
    <row r="30" spans="1:17" x14ac:dyDescent="0.2">
      <c r="A30" s="544"/>
      <c r="B30" s="544"/>
      <c r="C30" s="544"/>
      <c r="D30" s="544"/>
      <c r="E30" s="544"/>
      <c r="F30" s="544"/>
      <c r="G30" s="544"/>
      <c r="H30" s="544"/>
      <c r="I30" s="544"/>
      <c r="J30" s="544"/>
      <c r="K30" s="544"/>
      <c r="L30" s="544"/>
      <c r="M30" s="544"/>
      <c r="N30" s="544"/>
      <c r="O30" s="544"/>
      <c r="P30" s="544"/>
      <c r="Q30" s="544"/>
    </row>
    <row r="31" spans="1:17" x14ac:dyDescent="0.2">
      <c r="A31" s="544"/>
      <c r="B31" s="544"/>
      <c r="C31" s="544"/>
      <c r="D31" s="544"/>
      <c r="E31" s="544"/>
      <c r="F31" s="544"/>
      <c r="G31" s="544"/>
      <c r="H31" s="544"/>
      <c r="I31" s="544"/>
      <c r="J31" s="544"/>
      <c r="K31" s="544"/>
      <c r="L31" s="544"/>
      <c r="M31" s="544"/>
      <c r="N31" s="544"/>
      <c r="O31" s="544"/>
      <c r="P31" s="544"/>
      <c r="Q31" s="544"/>
    </row>
    <row r="32" spans="1:17" x14ac:dyDescent="0.2">
      <c r="A32" s="544"/>
      <c r="B32" s="544"/>
      <c r="C32" s="544"/>
      <c r="D32" s="544"/>
      <c r="E32" s="544"/>
      <c r="F32" s="544"/>
      <c r="G32" s="544"/>
      <c r="H32" s="544"/>
      <c r="I32" s="544"/>
      <c r="J32" s="544"/>
      <c r="K32" s="544"/>
      <c r="L32" s="544"/>
      <c r="M32" s="544"/>
      <c r="N32" s="544"/>
      <c r="O32" s="544"/>
      <c r="P32" s="544"/>
      <c r="Q32" s="544"/>
    </row>
    <row r="33" spans="1:17" x14ac:dyDescent="0.2">
      <c r="A33" s="544"/>
      <c r="B33" s="544"/>
      <c r="C33" s="544"/>
      <c r="D33" s="544"/>
      <c r="E33" s="544"/>
      <c r="F33" s="544"/>
      <c r="G33" s="544"/>
      <c r="H33" s="544"/>
      <c r="I33" s="544"/>
      <c r="J33" s="544"/>
      <c r="K33" s="544"/>
      <c r="L33" s="544"/>
      <c r="M33" s="544"/>
      <c r="N33" s="544"/>
      <c r="O33" s="544"/>
      <c r="P33" s="544"/>
      <c r="Q33" s="544"/>
    </row>
    <row r="34" spans="1:17" x14ac:dyDescent="0.2">
      <c r="A34" s="544"/>
      <c r="B34" s="544"/>
      <c r="C34" s="544"/>
      <c r="D34" s="544"/>
      <c r="E34" s="544"/>
      <c r="F34" s="544"/>
      <c r="G34" s="544"/>
      <c r="H34" s="544"/>
      <c r="I34" s="544"/>
      <c r="J34" s="544"/>
      <c r="K34" s="544"/>
      <c r="L34" s="544"/>
      <c r="M34" s="544"/>
      <c r="N34" s="544"/>
      <c r="O34" s="544"/>
      <c r="P34" s="544"/>
      <c r="Q34" s="544"/>
    </row>
    <row r="35" spans="1:17" x14ac:dyDescent="0.2">
      <c r="A35" s="544"/>
      <c r="B35" s="544"/>
      <c r="C35" s="544"/>
      <c r="D35" s="544"/>
      <c r="E35" s="544"/>
      <c r="F35" s="544"/>
      <c r="G35" s="544"/>
      <c r="H35" s="544"/>
      <c r="I35" s="544"/>
      <c r="J35" s="544"/>
      <c r="K35" s="544"/>
      <c r="L35" s="544"/>
      <c r="M35" s="544"/>
      <c r="N35" s="544"/>
      <c r="O35" s="544"/>
      <c r="P35" s="544"/>
      <c r="Q35" s="544"/>
    </row>
    <row r="36" spans="1:17" x14ac:dyDescent="0.2">
      <c r="A36" s="544"/>
      <c r="B36" s="544"/>
      <c r="C36" s="544"/>
      <c r="D36" s="544"/>
      <c r="E36" s="544"/>
      <c r="F36" s="544"/>
      <c r="G36" s="544"/>
      <c r="H36" s="544"/>
      <c r="I36" s="544"/>
      <c r="J36" s="544"/>
      <c r="K36" s="544"/>
      <c r="L36" s="544"/>
      <c r="M36" s="544"/>
      <c r="N36" s="544"/>
      <c r="O36" s="544"/>
      <c r="P36" s="544"/>
      <c r="Q36" s="544"/>
    </row>
    <row r="37" spans="1:17" x14ac:dyDescent="0.2">
      <c r="A37" s="544"/>
      <c r="B37" s="544"/>
      <c r="C37" s="544"/>
      <c r="D37" s="544"/>
      <c r="E37" s="544"/>
      <c r="F37" s="544"/>
      <c r="G37" s="544"/>
      <c r="H37" s="544"/>
      <c r="I37" s="544"/>
      <c r="J37" s="544"/>
      <c r="K37" s="544"/>
      <c r="L37" s="544"/>
      <c r="M37" s="544"/>
      <c r="N37" s="544"/>
      <c r="O37" s="544"/>
      <c r="P37" s="544"/>
      <c r="Q37" s="544"/>
    </row>
    <row r="38" spans="1:17" x14ac:dyDescent="0.2">
      <c r="A38" s="521"/>
      <c r="B38" s="521"/>
      <c r="C38" s="521"/>
      <c r="D38" s="521"/>
      <c r="E38" s="521"/>
      <c r="F38" s="521"/>
      <c r="G38" s="521"/>
      <c r="H38" s="521"/>
      <c r="I38" s="521"/>
      <c r="J38" s="521"/>
      <c r="K38" s="521"/>
      <c r="L38" s="521"/>
      <c r="M38" s="521"/>
      <c r="N38" s="521"/>
      <c r="O38" s="521"/>
    </row>
    <row r="39" spans="1:17" x14ac:dyDescent="0.2">
      <c r="A39" s="521"/>
      <c r="B39" s="521"/>
      <c r="C39" s="521"/>
      <c r="D39" s="521"/>
      <c r="E39" s="521"/>
      <c r="F39" s="521"/>
      <c r="G39" s="521"/>
      <c r="H39" s="521"/>
      <c r="I39" s="521"/>
      <c r="J39" s="521"/>
      <c r="K39" s="521"/>
      <c r="L39" s="521"/>
      <c r="M39" s="521"/>
      <c r="N39" s="521"/>
      <c r="O39" s="521"/>
    </row>
    <row r="40" spans="1:17" x14ac:dyDescent="0.2">
      <c r="A40" s="521"/>
      <c r="B40" s="521"/>
      <c r="C40" s="521"/>
      <c r="D40" s="521"/>
      <c r="E40" s="521"/>
      <c r="F40" s="521"/>
      <c r="G40" s="521"/>
      <c r="H40" s="521"/>
      <c r="I40" s="521"/>
      <c r="J40" s="521"/>
      <c r="K40" s="521"/>
      <c r="L40" s="521"/>
      <c r="M40" s="521"/>
      <c r="N40" s="521"/>
      <c r="O40" s="521"/>
    </row>
    <row r="41" spans="1:17" x14ac:dyDescent="0.2">
      <c r="A41" s="521"/>
      <c r="B41" s="521"/>
      <c r="C41" s="521"/>
      <c r="D41" s="521"/>
      <c r="E41" s="521"/>
      <c r="F41" s="521"/>
      <c r="G41" s="521"/>
      <c r="H41" s="521"/>
      <c r="I41" s="521"/>
      <c r="J41" s="521"/>
      <c r="K41" s="521"/>
      <c r="L41" s="521"/>
      <c r="M41" s="521"/>
      <c r="N41" s="521"/>
      <c r="O41" s="521"/>
    </row>
    <row r="42" spans="1:17" x14ac:dyDescent="0.2">
      <c r="A42" s="521"/>
      <c r="B42" s="521"/>
      <c r="C42" s="521"/>
      <c r="D42" s="521"/>
      <c r="E42" s="521"/>
      <c r="F42" s="521"/>
      <c r="G42" s="521"/>
      <c r="H42" s="521"/>
      <c r="I42" s="521"/>
      <c r="J42" s="521"/>
      <c r="K42" s="521"/>
      <c r="L42" s="521"/>
      <c r="M42" s="521"/>
      <c r="N42" s="521"/>
      <c r="O42" s="521"/>
    </row>
    <row r="43" spans="1:17" x14ac:dyDescent="0.2">
      <c r="A43" s="521"/>
      <c r="B43" s="521"/>
      <c r="C43" s="521"/>
      <c r="D43" s="521"/>
      <c r="E43" s="521"/>
      <c r="F43" s="521"/>
      <c r="G43" s="521"/>
      <c r="H43" s="521"/>
      <c r="I43" s="521"/>
      <c r="J43" s="521"/>
      <c r="K43" s="521"/>
      <c r="L43" s="521"/>
      <c r="M43" s="521"/>
      <c r="N43" s="521"/>
      <c r="O43" s="521"/>
    </row>
    <row r="44" spans="1:17" x14ac:dyDescent="0.2">
      <c r="A44" s="521"/>
      <c r="B44" s="521"/>
      <c r="C44" s="521"/>
      <c r="D44" s="521"/>
      <c r="E44" s="521"/>
      <c r="F44" s="521"/>
      <c r="G44" s="521"/>
      <c r="H44" s="521"/>
      <c r="I44" s="521"/>
      <c r="J44" s="521"/>
      <c r="K44" s="521"/>
      <c r="L44" s="521"/>
      <c r="M44" s="521"/>
      <c r="N44" s="521"/>
      <c r="O44" s="521"/>
    </row>
    <row r="45" spans="1:17" x14ac:dyDescent="0.2">
      <c r="A45" s="521"/>
      <c r="B45" s="521"/>
      <c r="C45" s="521"/>
      <c r="D45" s="521"/>
      <c r="E45" s="521"/>
      <c r="F45" s="521"/>
      <c r="G45" s="521"/>
      <c r="H45" s="521"/>
      <c r="I45" s="521"/>
      <c r="J45" s="521"/>
      <c r="K45" s="521"/>
      <c r="L45" s="521"/>
      <c r="M45" s="521"/>
      <c r="N45" s="521"/>
      <c r="O45" s="521"/>
    </row>
    <row r="46" spans="1:17" x14ac:dyDescent="0.2">
      <c r="A46" s="521"/>
      <c r="B46" s="521"/>
      <c r="C46" s="521"/>
      <c r="D46" s="521"/>
      <c r="E46" s="521"/>
      <c r="F46" s="521"/>
      <c r="G46" s="521"/>
      <c r="H46" s="521"/>
      <c r="I46" s="521"/>
      <c r="J46" s="521"/>
      <c r="K46" s="521"/>
      <c r="L46" s="521"/>
      <c r="M46" s="521"/>
      <c r="N46" s="521"/>
      <c r="O46" s="521"/>
    </row>
    <row r="47" spans="1:17" x14ac:dyDescent="0.2">
      <c r="A47" s="521"/>
      <c r="B47" s="521"/>
      <c r="C47" s="521"/>
      <c r="D47" s="521"/>
      <c r="E47" s="521"/>
      <c r="F47" s="521"/>
      <c r="G47" s="521"/>
      <c r="H47" s="521"/>
      <c r="I47" s="521"/>
      <c r="J47" s="521"/>
      <c r="K47" s="521"/>
      <c r="L47" s="521"/>
      <c r="M47" s="521"/>
      <c r="N47" s="521"/>
      <c r="O47" s="521"/>
    </row>
  </sheetData>
  <sheetProtection password="F862" sheet="1" objects="1" scenarios="1"/>
  <customSheetViews>
    <customSheetView guid="{6B129A8F-21F1-407F-BF03-B1785CB23E02}" scale="85" fitToPage="1">
      <selection activeCell="G56" sqref="G56"/>
      <pageMargins left="0.70866141732283472" right="0.70866141732283472" top="0.74803149606299213" bottom="0.74803149606299213" header="0.31496062992125984" footer="0.31496062992125984"/>
      <pageSetup paperSize="9" scale="64" fitToHeight="2" orientation="portrait" r:id="rId1"/>
      <headerFooter>
        <oddHeader>&amp;CLincolnshire County Council
2014/15 Hospital Schools funding formula</oddHeader>
        <oddFooter>&amp;CISB Weightings</oddFooter>
      </headerFooter>
    </customSheetView>
  </customSheetViews>
  <mergeCells count="1">
    <mergeCell ref="A1:Q37"/>
  </mergeCells>
  <phoneticPr fontId="60" type="noConversion"/>
  <pageMargins left="0.70866141732283472" right="1.1023622047244095" top="0.74803149606299213" bottom="0.74803149606299213" header="0.31496062992125984" footer="0.31496062992125984"/>
  <pageSetup paperSize="9" scale="86" fitToHeight="2" orientation="landscape" r:id="rId2"/>
  <headerFooter>
    <oddHeader xml:space="preserve">&amp;CLincolnshire County Council
</oddHeader>
    <oddFooter>&amp;C2020/21 Ash Villa Funding Formula
ISB Weightings</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31"/>
  <sheetViews>
    <sheetView zoomScale="85" zoomScaleNormal="85" workbookViewId="0">
      <selection activeCell="B5" sqref="B5"/>
    </sheetView>
  </sheetViews>
  <sheetFormatPr defaultColWidth="8.7109375" defaultRowHeight="12.75" x14ac:dyDescent="0.2"/>
  <cols>
    <col min="1" max="1" width="60.42578125" style="158" customWidth="1"/>
    <col min="2" max="2" width="30.7109375" style="158" customWidth="1"/>
    <col min="3" max="3" width="1.5703125" style="158" customWidth="1"/>
    <col min="4" max="4" width="30.7109375" style="307" customWidth="1"/>
    <col min="5" max="5" width="8" style="307" customWidth="1"/>
    <col min="6" max="6" width="46.140625" style="307" customWidth="1"/>
    <col min="7" max="8" width="30.7109375" style="307" customWidth="1"/>
    <col min="9" max="9" width="4.140625" style="307" bestFit="1" customWidth="1"/>
    <col min="10" max="16384" width="8.7109375" style="158"/>
  </cols>
  <sheetData>
    <row r="1" spans="1:13" ht="18" x14ac:dyDescent="0.25">
      <c r="A1" s="224" t="s">
        <v>403</v>
      </c>
      <c r="B1" s="225"/>
      <c r="C1" s="225"/>
      <c r="D1" s="233"/>
      <c r="E1" s="237"/>
      <c r="F1" s="233"/>
      <c r="G1" s="228"/>
      <c r="H1" s="228"/>
      <c r="I1" s="228"/>
      <c r="J1" s="227"/>
      <c r="K1" s="227"/>
      <c r="L1" s="227"/>
      <c r="M1" s="228"/>
    </row>
    <row r="2" spans="1:13" ht="15" customHeight="1" x14ac:dyDescent="0.25">
      <c r="A2" s="224"/>
      <c r="B2" s="225"/>
      <c r="C2" s="225"/>
      <c r="D2" s="233"/>
      <c r="E2" s="237"/>
      <c r="F2" s="233"/>
      <c r="G2" s="228"/>
      <c r="H2" s="228"/>
      <c r="I2" s="228"/>
      <c r="J2" s="227"/>
      <c r="K2" s="227"/>
      <c r="L2" s="227"/>
      <c r="M2" s="228"/>
    </row>
    <row r="3" spans="1:13" ht="15" x14ac:dyDescent="0.25">
      <c r="A3" s="229" t="s">
        <v>343</v>
      </c>
      <c r="D3" s="233"/>
      <c r="E3" s="233"/>
      <c r="F3" s="233"/>
      <c r="G3" s="244"/>
      <c r="H3" s="228"/>
      <c r="I3" s="228"/>
      <c r="J3" s="227"/>
      <c r="K3" s="230"/>
      <c r="L3" s="227"/>
      <c r="M3" s="511"/>
    </row>
    <row r="4" spans="1:13" x14ac:dyDescent="0.2">
      <c r="A4" s="225"/>
      <c r="G4" s="512"/>
      <c r="H4" s="228"/>
      <c r="I4" s="228"/>
      <c r="J4" s="227"/>
      <c r="K4" s="231"/>
      <c r="L4" s="227"/>
      <c r="M4" s="228"/>
    </row>
    <row r="5" spans="1:13" x14ac:dyDescent="0.2">
      <c r="A5" s="513" t="s">
        <v>266</v>
      </c>
      <c r="B5" s="514">
        <v>9257003</v>
      </c>
      <c r="C5" s="515"/>
      <c r="D5" s="278" t="s">
        <v>344</v>
      </c>
      <c r="E5" s="245"/>
      <c r="F5" s="235"/>
      <c r="G5" s="512"/>
      <c r="H5" s="228"/>
      <c r="I5" s="228"/>
      <c r="J5" s="227"/>
      <c r="K5" s="231"/>
      <c r="L5" s="227"/>
      <c r="M5" s="228"/>
    </row>
    <row r="6" spans="1:13" x14ac:dyDescent="0.2">
      <c r="A6" s="226"/>
      <c r="B6" s="226"/>
      <c r="C6" s="226"/>
      <c r="D6" s="233"/>
      <c r="E6" s="228"/>
      <c r="F6" s="228"/>
      <c r="G6" s="228"/>
      <c r="H6" s="228"/>
      <c r="I6" s="228"/>
      <c r="J6" s="232"/>
      <c r="K6" s="227"/>
      <c r="L6" s="227"/>
      <c r="M6" s="228"/>
    </row>
    <row r="7" spans="1:13" x14ac:dyDescent="0.2">
      <c r="A7" s="226"/>
      <c r="B7" s="237" t="s">
        <v>405</v>
      </c>
      <c r="C7" s="233"/>
      <c r="D7" s="235" t="s">
        <v>406</v>
      </c>
      <c r="E7" s="228"/>
      <c r="F7" s="228"/>
      <c r="G7" s="385" t="s">
        <v>410</v>
      </c>
      <c r="H7" s="228"/>
      <c r="I7" s="228"/>
      <c r="J7" s="232"/>
      <c r="K7" s="227"/>
      <c r="L7" s="227"/>
      <c r="M7" s="228"/>
    </row>
    <row r="8" spans="1:13" x14ac:dyDescent="0.2">
      <c r="A8" s="226" t="s">
        <v>20</v>
      </c>
      <c r="B8" s="247">
        <f>VLOOKUP(B5,'1920 Funding'!A4:M5,4,FALSE)</f>
        <v>120796.88938648649</v>
      </c>
      <c r="C8" s="247"/>
      <c r="D8" s="247">
        <f>VLOOKUP(B5,'2021 Funding'!A4:M5,4,FALSE)</f>
        <v>120796.88938648649</v>
      </c>
      <c r="E8" s="299"/>
      <c r="F8" s="226" t="s">
        <v>20</v>
      </c>
      <c r="G8" s="302">
        <f>D8</f>
        <v>120796.88938648649</v>
      </c>
      <c r="H8" s="234"/>
      <c r="I8" s="233"/>
      <c r="J8" s="232"/>
      <c r="K8" s="227"/>
      <c r="L8" s="227"/>
      <c r="M8" s="228"/>
    </row>
    <row r="9" spans="1:13" x14ac:dyDescent="0.2">
      <c r="A9" s="226" t="s">
        <v>21</v>
      </c>
      <c r="B9" s="247">
        <f>VLOOKUP(B5,'1920 Funding'!A4:M5,5,FALSE)</f>
        <v>18681.5</v>
      </c>
      <c r="C9" s="247"/>
      <c r="D9" s="247">
        <f>VLOOKUP(B5,'2021 Funding'!A4:M5,5,FALSE)</f>
        <v>18681.5</v>
      </c>
      <c r="E9" s="299"/>
      <c r="F9" s="226" t="s">
        <v>21</v>
      </c>
      <c r="G9" s="302">
        <f t="shared" ref="G9:G12" si="0">D9</f>
        <v>18681.5</v>
      </c>
      <c r="H9" s="234"/>
      <c r="I9" s="233"/>
      <c r="J9" s="232"/>
      <c r="K9" s="227"/>
      <c r="L9" s="227"/>
      <c r="M9" s="228"/>
    </row>
    <row r="10" spans="1:13" x14ac:dyDescent="0.2">
      <c r="A10" s="226" t="s">
        <v>103</v>
      </c>
      <c r="B10" s="247">
        <f>VLOOKUP(B5,'1920 Funding'!A4:M5,8,FALSE)</f>
        <v>151996.26829525823</v>
      </c>
      <c r="C10" s="247"/>
      <c r="D10" s="247">
        <f>VLOOKUP(B5,'2021 Funding'!A4:M5,8,FALSE)</f>
        <v>151996.26829525823</v>
      </c>
      <c r="E10" s="228"/>
      <c r="F10" s="226" t="s">
        <v>103</v>
      </c>
      <c r="G10" s="302">
        <f t="shared" si="0"/>
        <v>151996.26829525823</v>
      </c>
      <c r="H10" s="234"/>
      <c r="I10" s="233"/>
      <c r="J10" s="232"/>
      <c r="K10" s="227"/>
      <c r="L10" s="227"/>
      <c r="M10" s="228"/>
    </row>
    <row r="11" spans="1:13" x14ac:dyDescent="0.2">
      <c r="A11" s="226" t="s">
        <v>85</v>
      </c>
      <c r="B11" s="247">
        <f>VLOOKUP(B5,'1920 Funding'!A4:M5,9,FALSE)</f>
        <v>0</v>
      </c>
      <c r="C11" s="247"/>
      <c r="D11" s="247">
        <f>VLOOKUP(B5,'2021 Funding'!A4:M5,9,FALSE)</f>
        <v>0</v>
      </c>
      <c r="E11" s="228"/>
      <c r="F11" s="226" t="s">
        <v>85</v>
      </c>
      <c r="G11" s="302">
        <f t="shared" si="0"/>
        <v>0</v>
      </c>
      <c r="H11" s="228"/>
      <c r="I11" s="228"/>
      <c r="J11" s="232"/>
      <c r="K11" s="227"/>
      <c r="L11" s="227"/>
      <c r="M11" s="228"/>
    </row>
    <row r="12" spans="1:13" x14ac:dyDescent="0.2">
      <c r="A12" s="226" t="s">
        <v>295</v>
      </c>
      <c r="B12" s="247">
        <f>VLOOKUP(B5,'1920 Funding'!A4:M5,10,FALSE)</f>
        <v>516.53498112061106</v>
      </c>
      <c r="C12" s="247"/>
      <c r="D12" s="247">
        <f>VLOOKUP(B5,'2021 Funding'!A4:M5,10,FALSE)</f>
        <v>516.53498112061106</v>
      </c>
      <c r="E12" s="228"/>
      <c r="F12" s="226" t="s">
        <v>295</v>
      </c>
      <c r="G12" s="302">
        <f t="shared" si="0"/>
        <v>516.53498112061106</v>
      </c>
      <c r="H12" s="228"/>
      <c r="I12" s="228"/>
      <c r="J12" s="232"/>
      <c r="K12" s="227"/>
      <c r="L12" s="227"/>
      <c r="M12" s="228"/>
    </row>
    <row r="13" spans="1:13" x14ac:dyDescent="0.2">
      <c r="A13" s="379" t="s">
        <v>404</v>
      </c>
      <c r="B13" s="247">
        <f>SUM(B8:B12)*0.01</f>
        <v>2919.9119266286534</v>
      </c>
      <c r="C13" s="247"/>
      <c r="D13" s="247">
        <f>SUM(D8:D12)*0.01</f>
        <v>2919.9119266286534</v>
      </c>
      <c r="E13" s="228"/>
      <c r="F13" s="379" t="s">
        <v>404</v>
      </c>
      <c r="G13" s="302">
        <f>D13</f>
        <v>2919.9119266286534</v>
      </c>
      <c r="H13" s="228"/>
      <c r="I13" s="228"/>
      <c r="J13" s="232"/>
      <c r="K13" s="227"/>
      <c r="L13" s="227"/>
      <c r="M13" s="228"/>
    </row>
    <row r="14" spans="1:13" x14ac:dyDescent="0.2">
      <c r="A14" s="379" t="s">
        <v>354</v>
      </c>
      <c r="B14" s="247">
        <v>0</v>
      </c>
      <c r="C14" s="247"/>
      <c r="D14" s="384"/>
      <c r="E14" s="228"/>
      <c r="F14" s="379" t="s">
        <v>354</v>
      </c>
      <c r="G14" s="508">
        <f>B20</f>
        <v>0</v>
      </c>
      <c r="H14" s="228"/>
      <c r="I14" s="228"/>
      <c r="J14" s="232"/>
      <c r="K14" s="227"/>
      <c r="L14" s="227"/>
      <c r="M14" s="228"/>
    </row>
    <row r="15" spans="1:13" ht="13.5" thickBot="1" x14ac:dyDescent="0.25">
      <c r="A15" s="226" t="s">
        <v>104</v>
      </c>
      <c r="B15" s="243">
        <f>VLOOKUP(B5,'1920 Funding'!A4:M5,12,FALSE)</f>
        <v>294911.104589494</v>
      </c>
      <c r="C15" s="247"/>
      <c r="D15" s="243">
        <f>VLOOKUP(B5,'2021 Funding'!A4:M5,12,FALSE)</f>
        <v>294911.104589494</v>
      </c>
      <c r="E15" s="228">
        <v>1</v>
      </c>
      <c r="F15" s="226" t="s">
        <v>104</v>
      </c>
      <c r="G15" s="407">
        <f>SUM(G8:G14)</f>
        <v>294911.104589494</v>
      </c>
      <c r="H15" s="228"/>
      <c r="I15" s="228">
        <v>7</v>
      </c>
      <c r="J15" s="232"/>
      <c r="K15" s="227"/>
      <c r="L15" s="227"/>
      <c r="M15" s="228"/>
    </row>
    <row r="16" spans="1:13" x14ac:dyDescent="0.2">
      <c r="A16" s="226"/>
      <c r="B16" s="302"/>
      <c r="C16" s="247"/>
      <c r="D16" s="242"/>
      <c r="E16" s="228"/>
      <c r="F16" s="302"/>
      <c r="G16" s="242"/>
      <c r="H16" s="228"/>
      <c r="I16" s="228"/>
      <c r="J16" s="232"/>
      <c r="K16" s="227"/>
      <c r="L16" s="227"/>
      <c r="M16" s="228"/>
    </row>
    <row r="17" spans="1:13" x14ac:dyDescent="0.2">
      <c r="A17" s="226"/>
      <c r="B17" s="415" t="s">
        <v>402</v>
      </c>
      <c r="C17" s="414"/>
      <c r="D17" s="246" t="s">
        <v>407</v>
      </c>
      <c r="E17" s="228"/>
      <c r="F17" s="516" t="s">
        <v>366</v>
      </c>
      <c r="G17" s="242"/>
      <c r="H17" s="228"/>
      <c r="I17" s="228"/>
      <c r="J17" s="232"/>
      <c r="K17" s="227"/>
      <c r="L17" s="227"/>
      <c r="M17" s="228"/>
    </row>
    <row r="18" spans="1:13" x14ac:dyDescent="0.2">
      <c r="A18" s="226" t="s">
        <v>307</v>
      </c>
      <c r="B18" s="236">
        <f>VLOOKUP(B5,'1920 Funding'!1:1048576,13,FALSE)</f>
        <v>13</v>
      </c>
      <c r="C18" s="236"/>
      <c r="D18" s="236">
        <f>VLOOKUP(B5,'2021 Funding'!1:1048576,13,FALSE)</f>
        <v>13</v>
      </c>
      <c r="E18" s="228">
        <v>2</v>
      </c>
      <c r="G18" s="386" t="s">
        <v>254</v>
      </c>
      <c r="H18" s="307" t="s">
        <v>356</v>
      </c>
      <c r="K18" s="227"/>
      <c r="L18" s="227"/>
      <c r="M18" s="228"/>
    </row>
    <row r="19" spans="1:13" x14ac:dyDescent="0.2">
      <c r="A19" s="226"/>
      <c r="B19" s="247"/>
      <c r="C19" s="247"/>
      <c r="D19" s="247"/>
      <c r="E19" s="228"/>
      <c r="F19" s="400" t="s">
        <v>411</v>
      </c>
      <c r="G19" s="300">
        <f>10000*(5/12)</f>
        <v>4166.666666666667</v>
      </c>
      <c r="H19" s="517">
        <f>G19*13</f>
        <v>54166.666666666672</v>
      </c>
      <c r="K19" s="227"/>
      <c r="L19" s="227"/>
      <c r="M19" s="228"/>
    </row>
    <row r="20" spans="1:13" x14ac:dyDescent="0.2">
      <c r="A20" s="379" t="s">
        <v>408</v>
      </c>
      <c r="B20" s="509">
        <v>0</v>
      </c>
      <c r="C20" s="247"/>
      <c r="D20" s="247"/>
      <c r="E20" s="228">
        <v>3</v>
      </c>
      <c r="F20" s="400" t="s">
        <v>412</v>
      </c>
      <c r="G20" s="300">
        <f>10000*(7/12)</f>
        <v>5833.3333333333339</v>
      </c>
      <c r="H20" s="517">
        <f>G20*13</f>
        <v>75833.333333333343</v>
      </c>
      <c r="K20" s="227"/>
      <c r="L20" s="227"/>
      <c r="M20" s="228"/>
    </row>
    <row r="21" spans="1:13" x14ac:dyDescent="0.2">
      <c r="A21" s="226"/>
      <c r="B21" s="247"/>
      <c r="C21" s="247"/>
      <c r="D21" s="247"/>
      <c r="E21" s="228"/>
      <c r="G21" s="388">
        <f>SUM(G19:G20)</f>
        <v>10000</v>
      </c>
      <c r="H21" s="388">
        <f>SUM(H19:H20)</f>
        <v>130000.00000000001</v>
      </c>
      <c r="I21" s="307">
        <v>8</v>
      </c>
      <c r="K21" s="227"/>
      <c r="L21" s="227"/>
      <c r="M21" s="228"/>
    </row>
    <row r="22" spans="1:13" x14ac:dyDescent="0.2">
      <c r="A22" s="416" t="s">
        <v>294</v>
      </c>
      <c r="B22" s="417">
        <f>VLOOKUP(B5,'Band Calculations 16-17'!1:1048576,23,FALSE)</f>
        <v>11692.020638096787</v>
      </c>
      <c r="C22" s="417"/>
      <c r="D22" s="417">
        <f>VLOOKUP(B5,'Band Calculations 17-18'!1:1048576,23,FALSE)</f>
        <v>11692.020638096787</v>
      </c>
      <c r="E22" s="418">
        <v>4</v>
      </c>
      <c r="K22" s="227"/>
      <c r="L22" s="227"/>
      <c r="M22" s="228"/>
    </row>
    <row r="23" spans="1:13" x14ac:dyDescent="0.2">
      <c r="B23" s="242"/>
      <c r="C23" s="242"/>
      <c r="D23" s="242"/>
      <c r="E23" s="228"/>
      <c r="G23" s="389" t="s">
        <v>357</v>
      </c>
      <c r="H23" s="403" t="s">
        <v>358</v>
      </c>
      <c r="K23" s="227"/>
      <c r="L23" s="227"/>
      <c r="M23" s="228"/>
    </row>
    <row r="24" spans="1:13" x14ac:dyDescent="0.2">
      <c r="E24" s="228"/>
      <c r="F24" s="400" t="s">
        <v>411</v>
      </c>
      <c r="G24" s="517">
        <f>(D15-130000)/D18*5/12</f>
        <v>5285.6123265863462</v>
      </c>
      <c r="H24" s="517">
        <f>G24*13</f>
        <v>68712.960245622497</v>
      </c>
      <c r="K24" s="227"/>
      <c r="L24" s="227"/>
      <c r="M24" s="228"/>
    </row>
    <row r="25" spans="1:13" x14ac:dyDescent="0.2">
      <c r="A25" s="226"/>
      <c r="E25" s="228"/>
      <c r="F25" s="400" t="s">
        <v>412</v>
      </c>
      <c r="G25" s="517">
        <f>(D15-130000)/D18*7/12</f>
        <v>7399.8572572208841</v>
      </c>
      <c r="H25" s="517">
        <f>G25*13</f>
        <v>96198.144343871492</v>
      </c>
      <c r="I25" s="299"/>
      <c r="J25" s="305"/>
      <c r="K25" s="227"/>
      <c r="L25" s="227"/>
      <c r="M25" s="228"/>
    </row>
    <row r="26" spans="1:13" x14ac:dyDescent="0.2">
      <c r="A26" s="226"/>
      <c r="E26" s="228"/>
      <c r="F26" s="387"/>
      <c r="G26" s="388">
        <f>SUM(G24:G25)</f>
        <v>12685.469583807229</v>
      </c>
      <c r="H26" s="388">
        <f>SUM(H24:H25)</f>
        <v>164911.104589494</v>
      </c>
      <c r="I26" s="299">
        <v>9</v>
      </c>
      <c r="J26" s="305"/>
      <c r="K26" s="227"/>
      <c r="L26" s="227"/>
      <c r="M26" s="228"/>
    </row>
    <row r="27" spans="1:13" ht="13.5" thickBot="1" x14ac:dyDescent="0.25">
      <c r="A27" s="226"/>
      <c r="E27" s="228"/>
      <c r="F27" s="387"/>
      <c r="G27" s="390"/>
      <c r="H27" s="390"/>
      <c r="I27" s="228"/>
      <c r="J27" s="305"/>
      <c r="K27" s="227"/>
      <c r="L27" s="227"/>
      <c r="M27" s="228"/>
    </row>
    <row r="28" spans="1:13" x14ac:dyDescent="0.2">
      <c r="A28" s="226"/>
      <c r="B28" s="289" t="s">
        <v>301</v>
      </c>
      <c r="C28" s="290"/>
      <c r="D28" s="291" t="s">
        <v>302</v>
      </c>
      <c r="E28" s="228"/>
      <c r="G28" s="404" t="s">
        <v>413</v>
      </c>
      <c r="H28" s="405">
        <f>H21+H26</f>
        <v>294911.104589494</v>
      </c>
      <c r="I28" s="228">
        <v>10</v>
      </c>
      <c r="J28" s="401"/>
      <c r="K28" s="227"/>
      <c r="L28" s="227"/>
      <c r="M28" s="228"/>
    </row>
    <row r="29" spans="1:13" s="305" customFormat="1" x14ac:dyDescent="0.2">
      <c r="A29" s="226"/>
      <c r="B29" s="292" t="s">
        <v>2</v>
      </c>
      <c r="C29" s="288"/>
      <c r="D29" s="373">
        <f>VLOOKUP(B5,'Band Calculations 17-18'!1:1048576,4,FALSE)</f>
        <v>0</v>
      </c>
      <c r="E29" s="228"/>
      <c r="F29" s="389"/>
      <c r="G29" s="402"/>
      <c r="H29" s="402"/>
      <c r="I29" s="228"/>
      <c r="J29" s="401"/>
      <c r="K29" s="227"/>
      <c r="L29" s="227"/>
      <c r="M29" s="228"/>
    </row>
    <row r="30" spans="1:13" s="305" customFormat="1" x14ac:dyDescent="0.2">
      <c r="A30" s="226"/>
      <c r="B30" s="292" t="s">
        <v>3</v>
      </c>
      <c r="C30" s="288"/>
      <c r="D30" s="373">
        <f>VLOOKUP(B5,'Band Calculations 17-18'!1:1048576,5,FALSE)</f>
        <v>0</v>
      </c>
      <c r="E30" s="228"/>
      <c r="F30" s="296" t="s">
        <v>308</v>
      </c>
      <c r="G30" s="302"/>
      <c r="H30" s="390"/>
      <c r="I30" s="228"/>
      <c r="J30" s="401"/>
      <c r="K30" s="227"/>
      <c r="L30" s="227"/>
      <c r="M30" s="228"/>
    </row>
    <row r="31" spans="1:13" x14ac:dyDescent="0.2">
      <c r="A31" s="226"/>
      <c r="B31" s="292" t="s">
        <v>5</v>
      </c>
      <c r="C31" s="288"/>
      <c r="D31" s="373">
        <f>VLOOKUP(B5,'Band Calculations 17-18'!1:1048576,6,FALSE)</f>
        <v>0</v>
      </c>
      <c r="E31" s="228"/>
      <c r="F31" s="303" t="s">
        <v>225</v>
      </c>
      <c r="G31" s="242">
        <f>VLOOKUP(B5,'Other Funding'!1:1048576,18,FALSE)</f>
        <v>0</v>
      </c>
      <c r="H31" s="390"/>
      <c r="I31" s="228"/>
      <c r="J31" s="401"/>
      <c r="K31" s="227"/>
      <c r="L31" s="227"/>
      <c r="M31" s="228"/>
    </row>
    <row r="32" spans="1:13" x14ac:dyDescent="0.2">
      <c r="A32" s="226"/>
      <c r="B32" s="292" t="s">
        <v>7</v>
      </c>
      <c r="C32" s="288"/>
      <c r="D32" s="373">
        <f>VLOOKUP(B5,'Band Calculations 17-18'!1:1048576,7,FALSE)</f>
        <v>1</v>
      </c>
      <c r="E32" s="228"/>
      <c r="F32" s="303" t="s">
        <v>143</v>
      </c>
      <c r="G32" s="242">
        <f>VLOOKUP(B5,'Other Funding'!1:1048576,15,FALSE)</f>
        <v>0</v>
      </c>
      <c r="H32" s="391"/>
      <c r="I32" s="228"/>
      <c r="J32" s="232"/>
      <c r="K32" s="227"/>
      <c r="L32" s="227"/>
      <c r="M32" s="228"/>
    </row>
    <row r="33" spans="1:13" x14ac:dyDescent="0.2">
      <c r="A33" s="226"/>
      <c r="B33" s="413" t="s">
        <v>359</v>
      </c>
      <c r="C33" s="411"/>
      <c r="D33" s="412">
        <v>0</v>
      </c>
      <c r="E33" s="228"/>
      <c r="F33" s="303" t="s">
        <v>224</v>
      </c>
      <c r="G33" s="242">
        <f>VLOOKUP(B5,'Other Funding'!1:1048576,9,FALSE)</f>
        <v>0</v>
      </c>
      <c r="H33" s="391"/>
      <c r="I33" s="228"/>
      <c r="J33" s="232"/>
      <c r="K33" s="227"/>
      <c r="L33" s="227"/>
      <c r="M33" s="228"/>
    </row>
    <row r="34" spans="1:13" ht="13.5" thickBot="1" x14ac:dyDescent="0.25">
      <c r="A34" s="226"/>
      <c r="B34" s="293" t="s">
        <v>8</v>
      </c>
      <c r="C34" s="294"/>
      <c r="D34" s="374">
        <f>VLOOKUP(B5,'Band Calculations 17-18'!1:1048576,8,FALSE)</f>
        <v>0</v>
      </c>
      <c r="E34" s="228">
        <v>5</v>
      </c>
      <c r="F34" s="226"/>
      <c r="G34" s="301">
        <f>SUM(G31:G33)</f>
        <v>0</v>
      </c>
      <c r="H34" s="406">
        <f>G34</f>
        <v>0</v>
      </c>
      <c r="I34" s="228">
        <v>11</v>
      </c>
      <c r="J34" s="232"/>
      <c r="K34" s="227"/>
      <c r="L34" s="227"/>
      <c r="M34" s="228"/>
    </row>
    <row r="35" spans="1:13" x14ac:dyDescent="0.2">
      <c r="A35" s="226"/>
      <c r="B35" s="444"/>
      <c r="C35" s="242"/>
      <c r="D35" s="445"/>
      <c r="E35" s="228"/>
      <c r="H35" s="247"/>
      <c r="I35" s="242"/>
      <c r="J35" s="232"/>
      <c r="K35" s="227"/>
      <c r="L35" s="227"/>
      <c r="M35" s="228"/>
    </row>
    <row r="36" spans="1:13" ht="13.5" thickBot="1" x14ac:dyDescent="0.25">
      <c r="A36" s="226"/>
      <c r="B36" s="444"/>
      <c r="C36" s="242"/>
      <c r="D36" s="445"/>
      <c r="E36" s="228"/>
      <c r="G36" s="237" t="s">
        <v>362</v>
      </c>
      <c r="H36" s="298">
        <f>H28+H34</f>
        <v>294911.104589494</v>
      </c>
      <c r="I36" s="410">
        <v>12</v>
      </c>
      <c r="J36" s="232"/>
      <c r="K36" s="227"/>
      <c r="L36" s="227"/>
      <c r="M36" s="228"/>
    </row>
    <row r="37" spans="1:13" x14ac:dyDescent="0.2">
      <c r="A37" s="226"/>
      <c r="B37" s="444"/>
      <c r="C37" s="242"/>
      <c r="D37" s="445"/>
      <c r="G37" s="237"/>
      <c r="H37" s="246"/>
      <c r="I37" s="410"/>
      <c r="J37" s="228"/>
      <c r="K37" s="227"/>
      <c r="L37" s="227"/>
      <c r="M37" s="228"/>
    </row>
    <row r="38" spans="1:13" ht="13.5" thickBot="1" x14ac:dyDescent="0.25">
      <c r="A38" s="226"/>
      <c r="B38" s="277"/>
      <c r="C38" s="277"/>
      <c r="D38" s="247"/>
      <c r="H38" s="247"/>
      <c r="I38" s="242"/>
      <c r="J38" s="232"/>
    </row>
    <row r="39" spans="1:13" x14ac:dyDescent="0.2">
      <c r="A39" s="285"/>
      <c r="B39" s="286"/>
      <c r="C39" s="286"/>
      <c r="D39" s="287"/>
      <c r="F39" s="392" t="s">
        <v>414</v>
      </c>
      <c r="G39" s="393" t="s">
        <v>355</v>
      </c>
      <c r="I39" s="246"/>
      <c r="J39" s="232"/>
    </row>
    <row r="40" spans="1:13" x14ac:dyDescent="0.2">
      <c r="A40" s="304" t="s">
        <v>409</v>
      </c>
      <c r="B40" s="305"/>
      <c r="C40" s="305"/>
      <c r="D40" s="306"/>
      <c r="F40" s="394"/>
      <c r="G40" s="395"/>
      <c r="H40" s="228"/>
      <c r="I40" s="228"/>
      <c r="J40" s="232"/>
    </row>
    <row r="41" spans="1:13" x14ac:dyDescent="0.2">
      <c r="A41" s="304"/>
      <c r="B41" s="305"/>
      <c r="C41" s="305"/>
      <c r="D41" s="306"/>
      <c r="F41" s="396" t="s">
        <v>415</v>
      </c>
      <c r="G41" s="397">
        <v>13</v>
      </c>
      <c r="H41" s="228"/>
      <c r="I41" s="228"/>
      <c r="J41" s="232"/>
    </row>
    <row r="42" spans="1:13" x14ac:dyDescent="0.2">
      <c r="A42" s="308" t="s">
        <v>297</v>
      </c>
      <c r="B42" s="309" t="s">
        <v>1</v>
      </c>
      <c r="C42" s="305"/>
      <c r="D42" s="310" t="s">
        <v>59</v>
      </c>
      <c r="F42" s="396" t="s">
        <v>416</v>
      </c>
      <c r="G42" s="397">
        <v>13</v>
      </c>
      <c r="I42" s="307">
        <v>13</v>
      </c>
      <c r="J42" s="232"/>
    </row>
    <row r="43" spans="1:13" x14ac:dyDescent="0.2">
      <c r="A43" s="311"/>
      <c r="B43" s="299"/>
      <c r="C43" s="305"/>
      <c r="D43" s="312"/>
      <c r="F43" s="396"/>
      <c r="G43" s="397"/>
    </row>
    <row r="44" spans="1:13" x14ac:dyDescent="0.2">
      <c r="A44" s="313" t="s">
        <v>2</v>
      </c>
      <c r="B44" s="314" t="s">
        <v>51</v>
      </c>
      <c r="C44" s="315"/>
      <c r="D44" s="316">
        <v>11692.020638096787</v>
      </c>
      <c r="F44" s="396" t="s">
        <v>417</v>
      </c>
      <c r="G44" s="397">
        <v>0</v>
      </c>
    </row>
    <row r="45" spans="1:13" ht="13.5" thickBot="1" x14ac:dyDescent="0.25">
      <c r="A45" s="317"/>
      <c r="B45" s="318"/>
      <c r="C45" s="315"/>
      <c r="D45" s="316"/>
      <c r="F45" s="398" t="s">
        <v>418</v>
      </c>
      <c r="G45" s="399">
        <v>0</v>
      </c>
      <c r="I45" s="307">
        <v>14</v>
      </c>
    </row>
    <row r="46" spans="1:13" ht="13.5" thickBot="1" x14ac:dyDescent="0.25">
      <c r="A46" s="313" t="s">
        <v>3</v>
      </c>
      <c r="B46" s="314" t="s">
        <v>4</v>
      </c>
      <c r="C46" s="315"/>
      <c r="D46" s="316">
        <v>7350.1419469065795</v>
      </c>
    </row>
    <row r="47" spans="1:13" x14ac:dyDescent="0.2">
      <c r="A47" s="317"/>
      <c r="B47" s="318"/>
      <c r="C47" s="315"/>
      <c r="D47" s="316"/>
      <c r="F47" s="424" t="s">
        <v>45</v>
      </c>
      <c r="G47" s="436"/>
      <c r="H47" s="425"/>
      <c r="I47" s="438"/>
    </row>
    <row r="48" spans="1:13" x14ac:dyDescent="0.2">
      <c r="A48" s="313" t="s">
        <v>5</v>
      </c>
      <c r="B48" s="314" t="s">
        <v>6</v>
      </c>
      <c r="C48" s="315"/>
      <c r="D48" s="316">
        <v>6243.7244928897762</v>
      </c>
      <c r="F48" s="426"/>
      <c r="G48" s="437"/>
      <c r="H48" s="427"/>
      <c r="I48" s="311"/>
    </row>
    <row r="49" spans="1:9" x14ac:dyDescent="0.2">
      <c r="A49" s="317"/>
      <c r="B49" s="318"/>
      <c r="C49" s="315"/>
      <c r="D49" s="316"/>
      <c r="F49" s="321" t="s">
        <v>309</v>
      </c>
      <c r="G49" s="322" t="s">
        <v>20</v>
      </c>
      <c r="H49" s="432" t="s">
        <v>21</v>
      </c>
      <c r="I49" s="158"/>
    </row>
    <row r="50" spans="1:9" x14ac:dyDescent="0.2">
      <c r="A50" s="313" t="s">
        <v>7</v>
      </c>
      <c r="B50" s="314" t="s">
        <v>51</v>
      </c>
      <c r="C50" s="315"/>
      <c r="D50" s="316">
        <v>11692.020638096787</v>
      </c>
      <c r="F50" s="383" t="s">
        <v>353</v>
      </c>
      <c r="G50" s="380">
        <v>120797</v>
      </c>
      <c r="H50" s="433">
        <v>18682</v>
      </c>
      <c r="I50" s="158"/>
    </row>
    <row r="51" spans="1:9" x14ac:dyDescent="0.2">
      <c r="A51" s="317"/>
      <c r="B51" s="318"/>
      <c r="C51" s="315"/>
      <c r="D51" s="316"/>
      <c r="F51" s="428" t="s">
        <v>15</v>
      </c>
      <c r="G51" s="380">
        <v>314686.51772419503</v>
      </c>
      <c r="H51" s="433">
        <v>69201.680689977453</v>
      </c>
      <c r="I51" s="158"/>
    </row>
    <row r="52" spans="1:9" x14ac:dyDescent="0.2">
      <c r="A52" s="408" t="s">
        <v>359</v>
      </c>
      <c r="B52" s="409" t="s">
        <v>360</v>
      </c>
      <c r="C52" s="315"/>
      <c r="D52" s="316">
        <v>22143</v>
      </c>
      <c r="F52" s="428" t="s">
        <v>16</v>
      </c>
      <c r="G52" s="380">
        <v>405763.82046267512</v>
      </c>
      <c r="H52" s="433">
        <v>88790.687513148558</v>
      </c>
      <c r="I52" s="158"/>
    </row>
    <row r="53" spans="1:9" x14ac:dyDescent="0.2">
      <c r="A53" s="317"/>
      <c r="B53" s="318"/>
      <c r="C53" s="315"/>
      <c r="D53" s="316"/>
      <c r="F53" s="428" t="s">
        <v>17</v>
      </c>
      <c r="G53" s="380">
        <v>418723.18610831723</v>
      </c>
      <c r="H53" s="433">
        <v>117027.3922528728</v>
      </c>
      <c r="I53" s="158"/>
    </row>
    <row r="54" spans="1:9" x14ac:dyDescent="0.2">
      <c r="A54" s="313" t="s">
        <v>8</v>
      </c>
      <c r="B54" s="319" t="s">
        <v>51</v>
      </c>
      <c r="C54" s="315"/>
      <c r="D54" s="316">
        <v>11692.020638096787</v>
      </c>
      <c r="F54" s="429" t="s">
        <v>352</v>
      </c>
      <c r="G54" s="380">
        <v>493762.11190507573</v>
      </c>
      <c r="H54" s="433">
        <v>131719.7894229154</v>
      </c>
      <c r="I54" s="158"/>
    </row>
    <row r="55" spans="1:9" x14ac:dyDescent="0.2">
      <c r="A55" s="317"/>
      <c r="B55" s="320"/>
      <c r="C55" s="315"/>
      <c r="D55" s="316"/>
      <c r="F55" s="430" t="s">
        <v>50</v>
      </c>
      <c r="G55" s="381">
        <v>280697.16623783787</v>
      </c>
      <c r="H55" s="434">
        <v>55663.058379368813</v>
      </c>
      <c r="I55" s="158"/>
    </row>
    <row r="56" spans="1:9" ht="13.5" thickBot="1" x14ac:dyDescent="0.25">
      <c r="A56" s="439" t="s">
        <v>8</v>
      </c>
      <c r="B56" s="440" t="s">
        <v>108</v>
      </c>
      <c r="C56" s="441"/>
      <c r="D56" s="442">
        <v>2635.0478891670464</v>
      </c>
      <c r="E56" s="307">
        <v>6</v>
      </c>
      <c r="F56" s="431" t="s">
        <v>22</v>
      </c>
      <c r="G56" s="382">
        <v>360067.26321081078</v>
      </c>
      <c r="H56" s="435">
        <v>58044.118057617408</v>
      </c>
      <c r="I56" s="443">
        <v>15</v>
      </c>
    </row>
    <row r="57" spans="1:9" x14ac:dyDescent="0.2">
      <c r="A57" s="305"/>
      <c r="B57" s="305"/>
      <c r="C57" s="305"/>
      <c r="D57" s="299"/>
      <c r="F57" s="158"/>
      <c r="G57" s="158"/>
      <c r="H57" s="158"/>
      <c r="I57" s="158"/>
    </row>
    <row r="58" spans="1:9" x14ac:dyDescent="0.2">
      <c r="A58" s="305"/>
      <c r="B58" s="305"/>
      <c r="C58" s="305"/>
      <c r="D58" s="299"/>
      <c r="F58" s="158"/>
      <c r="G58" s="158"/>
      <c r="H58" s="158"/>
      <c r="I58" s="158"/>
    </row>
    <row r="59" spans="1:9" x14ac:dyDescent="0.2">
      <c r="A59" s="305"/>
      <c r="B59" s="305"/>
      <c r="C59" s="305"/>
      <c r="D59" s="299"/>
      <c r="F59" s="158"/>
      <c r="G59" s="158"/>
      <c r="H59" s="158"/>
      <c r="I59" s="158"/>
    </row>
    <row r="60" spans="1:9" ht="48.75" customHeight="1" x14ac:dyDescent="0.2">
      <c r="A60" s="545" t="s">
        <v>438</v>
      </c>
      <c r="B60" s="546"/>
      <c r="C60" s="546"/>
      <c r="D60" s="546"/>
      <c r="F60" s="549" t="s">
        <v>427</v>
      </c>
      <c r="G60" s="546"/>
      <c r="H60" s="546"/>
      <c r="I60" s="158"/>
    </row>
    <row r="61" spans="1:9" x14ac:dyDescent="0.2">
      <c r="A61" s="446"/>
      <c r="B61" s="446"/>
      <c r="C61" s="446"/>
      <c r="D61" s="446"/>
      <c r="F61" s="518"/>
      <c r="G61" s="518"/>
      <c r="H61" s="518"/>
      <c r="I61" s="158"/>
    </row>
    <row r="62" spans="1:9" ht="72" customHeight="1" x14ac:dyDescent="0.2">
      <c r="A62" s="548" t="s">
        <v>422</v>
      </c>
      <c r="B62" s="546"/>
      <c r="C62" s="546"/>
      <c r="D62" s="546"/>
      <c r="F62" s="549" t="s">
        <v>428</v>
      </c>
      <c r="G62" s="546"/>
      <c r="H62" s="546"/>
      <c r="I62" s="158"/>
    </row>
    <row r="63" spans="1:9" x14ac:dyDescent="0.2">
      <c r="A63" s="422"/>
      <c r="B63" s="421"/>
      <c r="C63" s="421"/>
      <c r="D63" s="421"/>
      <c r="G63" s="519"/>
      <c r="H63" s="519"/>
      <c r="I63" s="158"/>
    </row>
    <row r="64" spans="1:9" ht="66.599999999999994" customHeight="1" x14ac:dyDescent="0.2">
      <c r="A64" s="548" t="s">
        <v>434</v>
      </c>
      <c r="B64" s="546"/>
      <c r="C64" s="546"/>
      <c r="D64" s="546"/>
      <c r="F64" s="548" t="s">
        <v>429</v>
      </c>
      <c r="G64" s="546"/>
      <c r="H64" s="546"/>
      <c r="I64" s="158"/>
    </row>
    <row r="65" spans="1:12" x14ac:dyDescent="0.2">
      <c r="A65" s="510"/>
      <c r="B65" s="510"/>
      <c r="C65" s="510"/>
      <c r="D65" s="510"/>
      <c r="F65" s="520"/>
      <c r="G65" s="520"/>
      <c r="H65" s="520"/>
      <c r="I65" s="158"/>
    </row>
    <row r="66" spans="1:12" ht="74.099999999999994" customHeight="1" x14ac:dyDescent="0.2">
      <c r="A66" s="548" t="s">
        <v>435</v>
      </c>
      <c r="B66" s="546"/>
      <c r="C66" s="546"/>
      <c r="D66" s="546"/>
      <c r="F66" s="548" t="s">
        <v>430</v>
      </c>
      <c r="G66" s="546"/>
      <c r="H66" s="546"/>
      <c r="I66" s="158"/>
    </row>
    <row r="67" spans="1:12" x14ac:dyDescent="0.2">
      <c r="A67" s="510"/>
      <c r="B67" s="510"/>
      <c r="C67" s="510"/>
      <c r="D67" s="510"/>
      <c r="F67" s="520"/>
      <c r="G67" s="520"/>
      <c r="H67" s="520"/>
    </row>
    <row r="68" spans="1:12" ht="43.5" customHeight="1" x14ac:dyDescent="0.2">
      <c r="A68" s="548" t="s">
        <v>423</v>
      </c>
      <c r="B68" s="546"/>
      <c r="C68" s="546"/>
      <c r="D68" s="546"/>
      <c r="E68" s="378"/>
      <c r="F68" s="548" t="s">
        <v>431</v>
      </c>
      <c r="G68" s="546"/>
      <c r="H68" s="546"/>
    </row>
    <row r="69" spans="1:12" ht="12" customHeight="1" x14ac:dyDescent="0.2">
      <c r="A69" s="423"/>
      <c r="B69" s="423"/>
      <c r="C69" s="423"/>
      <c r="E69" s="419"/>
      <c r="F69" s="420"/>
      <c r="G69" s="519"/>
      <c r="H69" s="519"/>
    </row>
    <row r="70" spans="1:12" ht="56.25" customHeight="1" x14ac:dyDescent="0.2">
      <c r="A70" s="548" t="s">
        <v>424</v>
      </c>
      <c r="B70" s="546"/>
      <c r="C70" s="546"/>
      <c r="D70" s="546"/>
      <c r="E70" s="419"/>
      <c r="F70" s="548" t="s">
        <v>432</v>
      </c>
      <c r="G70" s="546"/>
      <c r="H70" s="546"/>
    </row>
    <row r="71" spans="1:12" ht="12" customHeight="1" x14ac:dyDescent="0.2">
      <c r="A71" s="510"/>
      <c r="B71" s="510"/>
      <c r="C71" s="510"/>
      <c r="D71" s="510"/>
      <c r="E71" s="419"/>
      <c r="F71" s="420"/>
      <c r="G71" s="423"/>
      <c r="H71" s="423"/>
    </row>
    <row r="72" spans="1:12" ht="80.25" customHeight="1" x14ac:dyDescent="0.2">
      <c r="A72" s="550" t="s">
        <v>425</v>
      </c>
      <c r="B72" s="551"/>
      <c r="C72" s="551"/>
      <c r="D72" s="551"/>
      <c r="F72" s="548" t="s">
        <v>433</v>
      </c>
      <c r="G72" s="546"/>
      <c r="H72" s="546"/>
      <c r="I72" s="521"/>
    </row>
    <row r="73" spans="1:12" ht="12" customHeight="1" x14ac:dyDescent="0.2">
      <c r="D73" s="510"/>
      <c r="F73" s="510"/>
      <c r="G73" s="510"/>
      <c r="H73" s="510"/>
      <c r="I73" s="521"/>
      <c r="J73" s="307"/>
    </row>
    <row r="74" spans="1:12" ht="31.5" customHeight="1" x14ac:dyDescent="0.2">
      <c r="A74" s="548" t="s">
        <v>426</v>
      </c>
      <c r="B74" s="546"/>
      <c r="C74" s="546"/>
      <c r="D74" s="552"/>
      <c r="E74" s="421"/>
      <c r="I74" s="521"/>
      <c r="J74" s="307"/>
    </row>
    <row r="75" spans="1:12" ht="12" customHeight="1" x14ac:dyDescent="0.2">
      <c r="E75" s="421"/>
      <c r="F75" s="510"/>
      <c r="G75" s="510"/>
      <c r="H75" s="510"/>
      <c r="I75" s="521"/>
      <c r="J75" s="307"/>
      <c r="K75" s="307"/>
      <c r="L75" s="307"/>
    </row>
    <row r="76" spans="1:12" ht="46.5" customHeight="1" x14ac:dyDescent="0.2">
      <c r="E76" s="421"/>
      <c r="G76" s="519"/>
      <c r="H76" s="519"/>
      <c r="I76" s="522"/>
      <c r="J76" s="307"/>
      <c r="K76" s="307"/>
      <c r="L76" s="307"/>
    </row>
    <row r="77" spans="1:12" ht="12" customHeight="1" x14ac:dyDescent="0.2">
      <c r="E77" s="421"/>
      <c r="F77" s="420"/>
      <c r="G77" s="519"/>
      <c r="H77" s="519"/>
      <c r="I77" s="522"/>
      <c r="J77" s="307"/>
      <c r="K77" s="307"/>
      <c r="L77" s="307"/>
    </row>
    <row r="78" spans="1:12" ht="12" customHeight="1" x14ac:dyDescent="0.2">
      <c r="E78" s="421"/>
      <c r="F78" s="519"/>
      <c r="G78" s="519"/>
      <c r="H78" s="519"/>
      <c r="I78" s="522"/>
      <c r="J78" s="307"/>
      <c r="K78" s="307"/>
      <c r="L78" s="307"/>
    </row>
    <row r="79" spans="1:12" ht="12" customHeight="1" x14ac:dyDescent="0.2">
      <c r="E79" s="421"/>
      <c r="F79" s="519"/>
      <c r="G79" s="519"/>
      <c r="H79" s="519"/>
      <c r="I79" s="523"/>
      <c r="J79" s="522"/>
      <c r="K79" s="522"/>
      <c r="L79" s="522"/>
    </row>
    <row r="80" spans="1:12" ht="12" customHeight="1" x14ac:dyDescent="0.2">
      <c r="E80" s="421"/>
      <c r="F80" s="519"/>
      <c r="G80" s="519"/>
      <c r="H80" s="519"/>
      <c r="I80" s="523"/>
      <c r="J80" s="522"/>
      <c r="K80" s="522"/>
      <c r="L80" s="522"/>
    </row>
    <row r="81" spans="5:12" ht="12" customHeight="1" x14ac:dyDescent="0.2">
      <c r="E81" s="421"/>
      <c r="F81" s="547"/>
      <c r="G81" s="547"/>
      <c r="H81" s="547"/>
      <c r="I81" s="523"/>
      <c r="J81" s="522"/>
      <c r="K81" s="522"/>
      <c r="L81" s="522"/>
    </row>
    <row r="82" spans="5:12" ht="12" customHeight="1" x14ac:dyDescent="0.2">
      <c r="E82" s="421"/>
      <c r="F82" s="547"/>
      <c r="G82" s="547"/>
      <c r="H82" s="547"/>
      <c r="I82" s="523"/>
      <c r="J82" s="522"/>
      <c r="K82" s="522"/>
      <c r="L82" s="522"/>
    </row>
    <row r="83" spans="5:12" ht="12" customHeight="1" x14ac:dyDescent="0.2">
      <c r="E83" s="421"/>
      <c r="I83" s="523"/>
      <c r="J83" s="522"/>
      <c r="K83" s="522"/>
      <c r="L83" s="522"/>
    </row>
    <row r="84" spans="5:12" ht="12" customHeight="1" x14ac:dyDescent="0.2">
      <c r="E84" s="421"/>
      <c r="I84" s="523"/>
      <c r="J84" s="522"/>
      <c r="K84" s="522"/>
      <c r="L84" s="522"/>
    </row>
    <row r="85" spans="5:12" ht="12" customHeight="1" x14ac:dyDescent="0.2">
      <c r="E85" s="421"/>
      <c r="I85" s="524"/>
      <c r="J85" s="522"/>
      <c r="K85" s="522"/>
      <c r="L85" s="522"/>
    </row>
    <row r="86" spans="5:12" ht="12" customHeight="1" x14ac:dyDescent="0.2">
      <c r="E86" s="421"/>
      <c r="I86" s="524"/>
      <c r="J86" s="524"/>
      <c r="K86" s="524"/>
      <c r="L86" s="524"/>
    </row>
    <row r="87" spans="5:12" ht="12" customHeight="1" x14ac:dyDescent="0.2">
      <c r="E87" s="421"/>
      <c r="I87" s="524"/>
      <c r="J87" s="524"/>
      <c r="K87" s="524"/>
      <c r="L87" s="524"/>
    </row>
    <row r="88" spans="5:12" ht="12" customHeight="1" x14ac:dyDescent="0.2">
      <c r="E88" s="421"/>
      <c r="I88" s="524"/>
      <c r="J88" s="524"/>
      <c r="K88" s="524"/>
      <c r="L88" s="524"/>
    </row>
    <row r="89" spans="5:12" ht="12" customHeight="1" x14ac:dyDescent="0.2">
      <c r="E89" s="421"/>
      <c r="I89" s="524"/>
      <c r="J89" s="524"/>
      <c r="K89" s="524"/>
      <c r="L89" s="524"/>
    </row>
    <row r="90" spans="5:12" ht="12" customHeight="1" x14ac:dyDescent="0.2">
      <c r="E90" s="421"/>
      <c r="I90" s="524"/>
      <c r="J90" s="524"/>
      <c r="K90" s="524"/>
      <c r="L90" s="524"/>
    </row>
    <row r="91" spans="5:12" ht="12" customHeight="1" x14ac:dyDescent="0.2">
      <c r="E91" s="421"/>
      <c r="I91" s="525"/>
      <c r="J91" s="524"/>
      <c r="K91" s="524"/>
      <c r="L91" s="524"/>
    </row>
    <row r="92" spans="5:12" ht="12" customHeight="1" x14ac:dyDescent="0.2">
      <c r="E92" s="421"/>
      <c r="I92" s="525"/>
      <c r="J92" s="524"/>
      <c r="K92" s="524"/>
      <c r="L92" s="524"/>
    </row>
    <row r="93" spans="5:12" ht="12" customHeight="1" x14ac:dyDescent="0.2">
      <c r="E93" s="421"/>
      <c r="I93" s="526"/>
      <c r="J93" s="524"/>
      <c r="K93" s="524"/>
      <c r="L93" s="524"/>
    </row>
    <row r="94" spans="5:12" ht="12" customHeight="1" x14ac:dyDescent="0.2">
      <c r="E94" s="421"/>
      <c r="I94" s="526"/>
      <c r="J94" s="524"/>
      <c r="K94" s="524"/>
      <c r="L94" s="524"/>
    </row>
    <row r="95" spans="5:12" ht="12" customHeight="1" x14ac:dyDescent="0.2">
      <c r="E95" s="421"/>
      <c r="I95" s="510"/>
      <c r="J95" s="524"/>
      <c r="K95" s="524"/>
      <c r="L95" s="524"/>
    </row>
    <row r="96" spans="5:12" ht="12" customHeight="1" x14ac:dyDescent="0.2">
      <c r="E96" s="421"/>
      <c r="J96" s="524"/>
      <c r="K96" s="524"/>
      <c r="L96" s="524"/>
    </row>
    <row r="97" spans="5:12" ht="12" customHeight="1" x14ac:dyDescent="0.2">
      <c r="E97" s="421"/>
      <c r="I97" s="521"/>
      <c r="J97" s="524"/>
      <c r="K97" s="524"/>
      <c r="L97" s="524"/>
    </row>
    <row r="98" spans="5:12" ht="12" customHeight="1" x14ac:dyDescent="0.2">
      <c r="J98" s="524"/>
      <c r="K98" s="524"/>
      <c r="L98" s="524"/>
    </row>
    <row r="99" spans="5:12" ht="12" customHeight="1" x14ac:dyDescent="0.2">
      <c r="I99" s="521"/>
      <c r="J99" s="525"/>
    </row>
    <row r="100" spans="5:12" ht="12" customHeight="1" x14ac:dyDescent="0.2">
      <c r="E100" s="377"/>
      <c r="I100" s="521"/>
      <c r="J100" s="525"/>
    </row>
    <row r="101" spans="5:12" ht="12" customHeight="1" x14ac:dyDescent="0.2">
      <c r="E101" s="377"/>
      <c r="I101" s="521"/>
      <c r="J101" s="526"/>
    </row>
    <row r="102" spans="5:12" ht="12" customHeight="1" x14ac:dyDescent="0.2">
      <c r="E102" s="377"/>
      <c r="I102" s="521"/>
      <c r="J102" s="526"/>
    </row>
    <row r="103" spans="5:12" ht="12" customHeight="1" x14ac:dyDescent="0.2">
      <c r="E103" s="377"/>
      <c r="I103" s="158"/>
      <c r="J103" s="376"/>
    </row>
    <row r="104" spans="5:12" ht="12" customHeight="1" x14ac:dyDescent="0.2">
      <c r="E104" s="377"/>
      <c r="I104" s="158"/>
      <c r="J104" s="307"/>
      <c r="K104" s="307"/>
      <c r="L104" s="307"/>
    </row>
    <row r="105" spans="5:12" ht="12" customHeight="1" x14ac:dyDescent="0.2">
      <c r="I105" s="158"/>
      <c r="J105" s="307"/>
      <c r="K105" s="307"/>
      <c r="L105" s="307"/>
    </row>
    <row r="106" spans="5:12" ht="12" customHeight="1" x14ac:dyDescent="0.2">
      <c r="J106" s="307"/>
      <c r="K106" s="307"/>
      <c r="L106" s="307"/>
    </row>
    <row r="107" spans="5:12" ht="12" customHeight="1" x14ac:dyDescent="0.2">
      <c r="J107" s="307"/>
      <c r="K107" s="307"/>
      <c r="L107" s="307"/>
    </row>
    <row r="108" spans="5:12" ht="12" customHeight="1" x14ac:dyDescent="0.2">
      <c r="J108" s="307"/>
      <c r="K108" s="307"/>
      <c r="L108" s="307"/>
    </row>
    <row r="109" spans="5:12" ht="12" customHeight="1" x14ac:dyDescent="0.2">
      <c r="J109" s="307"/>
      <c r="K109" s="307"/>
      <c r="L109" s="307"/>
    </row>
    <row r="110" spans="5:12" ht="12" customHeight="1" x14ac:dyDescent="0.2">
      <c r="J110" s="307"/>
      <c r="K110" s="307"/>
      <c r="L110" s="307"/>
    </row>
    <row r="111" spans="5:12" ht="12" customHeight="1" x14ac:dyDescent="0.2"/>
    <row r="112" spans="5: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sheetData>
  <sheetProtection password="F862" sheet="1" objects="1" scenarios="1"/>
  <customSheetViews>
    <customSheetView guid="{6B129A8F-21F1-407F-BF03-B1785CB23E02}" scale="85" fitToPage="1">
      <selection activeCell="F14" sqref="F14"/>
      <pageMargins left="0.7" right="0.7" top="0.75" bottom="0.75" header="0.3" footer="0.3"/>
      <pageSetup paperSize="9" scale="67" orientation="portrait" r:id="rId1"/>
      <headerFooter>
        <oddHeader>&amp;CLincolnshire County Council
2014/15 Hospital Schools funding formula</oddHeader>
        <oddFooter>&amp;CBudget Shares</oddFooter>
      </headerFooter>
    </customSheetView>
  </customSheetViews>
  <mergeCells count="16">
    <mergeCell ref="A60:D60"/>
    <mergeCell ref="F81:H82"/>
    <mergeCell ref="F70:H70"/>
    <mergeCell ref="A70:D70"/>
    <mergeCell ref="F72:H72"/>
    <mergeCell ref="F60:H60"/>
    <mergeCell ref="A62:D62"/>
    <mergeCell ref="F62:H62"/>
    <mergeCell ref="F64:H64"/>
    <mergeCell ref="A64:D64"/>
    <mergeCell ref="F66:H66"/>
    <mergeCell ref="A72:D72"/>
    <mergeCell ref="A74:D74"/>
    <mergeCell ref="A66:D66"/>
    <mergeCell ref="F68:H68"/>
    <mergeCell ref="A68:D68"/>
  </mergeCells>
  <phoneticPr fontId="60" type="noConversion"/>
  <pageMargins left="0.70866141732283472" right="0.70866141732283472" top="0.74803149606299213" bottom="0.74803149606299213" header="0.31496062992125984" footer="0.31496062992125984"/>
  <pageSetup paperSize="9" scale="54" orientation="landscape" r:id="rId2"/>
  <headerFooter>
    <oddHeader xml:space="preserve">&amp;CLincolnshire County Council
</oddHeader>
    <oddFooter>&amp;C2020/21 Ash Villa Funding Formula
Budget Shares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
  <sheetViews>
    <sheetView workbookViewId="0">
      <selection sqref="A1:XFD1048576"/>
    </sheetView>
  </sheetViews>
  <sheetFormatPr defaultRowHeight="12.75" x14ac:dyDescent="0.2"/>
  <cols>
    <col min="10" max="10" width="11.28515625" customWidth="1"/>
  </cols>
  <sheetData>
    <row r="1" spans="1:12" ht="18" x14ac:dyDescent="0.25">
      <c r="A1" s="38"/>
      <c r="B1" s="48" t="s">
        <v>351</v>
      </c>
      <c r="C1" s="37"/>
      <c r="D1" s="45"/>
      <c r="E1" s="45"/>
      <c r="F1" s="45"/>
      <c r="G1" s="45"/>
      <c r="H1" s="38"/>
      <c r="I1" s="44"/>
      <c r="J1" s="44"/>
      <c r="K1" s="45"/>
      <c r="L1" s="45"/>
    </row>
    <row r="2" spans="1:12" x14ac:dyDescent="0.2">
      <c r="A2" s="38">
        <v>1</v>
      </c>
      <c r="B2" s="52">
        <v>2</v>
      </c>
      <c r="C2" s="52">
        <v>3</v>
      </c>
      <c r="D2" s="45">
        <v>4</v>
      </c>
      <c r="E2" s="45">
        <v>5</v>
      </c>
      <c r="F2" s="45">
        <v>6</v>
      </c>
      <c r="G2" s="45">
        <v>7</v>
      </c>
      <c r="H2" s="38">
        <v>8</v>
      </c>
      <c r="I2" s="44">
        <v>9</v>
      </c>
      <c r="J2" s="44">
        <v>10</v>
      </c>
      <c r="K2" s="45">
        <v>11</v>
      </c>
      <c r="L2" s="81">
        <v>12</v>
      </c>
    </row>
    <row r="3" spans="1:12" s="21" customFormat="1" ht="51" x14ac:dyDescent="0.2">
      <c r="A3" s="240" t="s">
        <v>268</v>
      </c>
      <c r="B3" s="239" t="s">
        <v>66</v>
      </c>
      <c r="C3" s="174" t="s">
        <v>52</v>
      </c>
      <c r="D3" s="146" t="s">
        <v>20</v>
      </c>
      <c r="E3" s="146" t="s">
        <v>21</v>
      </c>
      <c r="F3" s="70" t="s">
        <v>64</v>
      </c>
      <c r="G3" s="70" t="s">
        <v>114</v>
      </c>
      <c r="H3" s="70" t="s">
        <v>103</v>
      </c>
      <c r="I3" s="174" t="s">
        <v>201</v>
      </c>
      <c r="J3" s="174" t="s">
        <v>237</v>
      </c>
      <c r="K3" s="70" t="s">
        <v>104</v>
      </c>
      <c r="L3" s="70" t="s">
        <v>328</v>
      </c>
    </row>
    <row r="4" spans="1:12"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f>
        <v>593728.26534070226</v>
      </c>
      <c r="L4" s="142">
        <f>'Band Calculations'!K24</f>
        <v>20</v>
      </c>
    </row>
    <row r="5" spans="1:12" x14ac:dyDescent="0.2">
      <c r="A5" s="295">
        <v>9257003</v>
      </c>
      <c r="B5" s="138" t="s">
        <v>138</v>
      </c>
      <c r="C5" s="138"/>
      <c r="D5" s="100">
        <f>'Funding Model'!D28</f>
        <v>120796.88938648649</v>
      </c>
      <c r="E5" s="100">
        <f>'Funding Model'!E28</f>
        <v>18681.5</v>
      </c>
      <c r="F5" s="100"/>
      <c r="G5" s="100"/>
      <c r="H5" s="344">
        <f>'Band Calculations 17-18'!U25</f>
        <v>151996.26829525823</v>
      </c>
      <c r="I5" s="344">
        <v>0</v>
      </c>
      <c r="J5" s="344">
        <v>516.53498112061106</v>
      </c>
      <c r="K5" s="344">
        <f>SUM(D5:J5)</f>
        <v>291991.19266286533</v>
      </c>
      <c r="L5" s="345">
        <v>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0"/>
  <sheetViews>
    <sheetView workbookViewId="0">
      <selection activeCell="H31" sqref="H31"/>
    </sheetView>
  </sheetViews>
  <sheetFormatPr defaultColWidth="10.28515625" defaultRowHeight="12.75" x14ac:dyDescent="0.2"/>
  <cols>
    <col min="1" max="1" width="9.140625" style="38" customWidth="1"/>
    <col min="2" max="2" width="26.7109375" style="38" customWidth="1"/>
    <col min="3" max="3" width="6.28515625" style="38" bestFit="1" customWidth="1"/>
    <col min="4" max="13" width="10.28515625" style="38" customWidth="1"/>
    <col min="14" max="19" width="10.28515625" style="44" customWidth="1"/>
    <col min="20" max="20" width="12.140625" style="198" customWidth="1"/>
    <col min="21" max="21" width="10.28515625" style="198" customWidth="1"/>
    <col min="22" max="22" width="10.28515625" style="38" customWidth="1"/>
    <col min="23" max="16384" width="10.28515625" style="38"/>
  </cols>
  <sheetData>
    <row r="1" spans="1:23" x14ac:dyDescent="0.2">
      <c r="A1" s="68" t="s">
        <v>97</v>
      </c>
      <c r="C1" s="37"/>
    </row>
    <row r="2" spans="1:23" x14ac:dyDescent="0.2">
      <c r="A2" s="375" t="s">
        <v>345</v>
      </c>
      <c r="C2" s="52"/>
      <c r="K2" s="152" t="s">
        <v>207</v>
      </c>
      <c r="L2" s="152"/>
      <c r="M2" s="152"/>
      <c r="N2" s="193"/>
      <c r="O2" s="193"/>
      <c r="P2" s="193"/>
      <c r="Q2" s="193"/>
      <c r="R2" s="193"/>
      <c r="S2" s="193"/>
      <c r="T2" s="199"/>
      <c r="U2" s="199"/>
    </row>
    <row r="3" spans="1:23" x14ac:dyDescent="0.2">
      <c r="B3" s="39"/>
      <c r="C3" s="39"/>
      <c r="K3" s="147"/>
      <c r="L3" s="147"/>
      <c r="M3" s="147"/>
    </row>
    <row r="4" spans="1:23" ht="38.25" x14ac:dyDescent="0.2">
      <c r="A4" s="239" t="s">
        <v>268</v>
      </c>
      <c r="B4" s="40" t="s">
        <v>66</v>
      </c>
      <c r="C4" s="41" t="s">
        <v>52</v>
      </c>
      <c r="D4" s="38" t="s">
        <v>346</v>
      </c>
      <c r="E4" s="38" t="s">
        <v>347</v>
      </c>
      <c r="F4" s="38" t="s">
        <v>348</v>
      </c>
      <c r="G4" s="38" t="s">
        <v>349</v>
      </c>
      <c r="H4" s="38" t="s">
        <v>350</v>
      </c>
      <c r="I4" s="53" t="s">
        <v>226</v>
      </c>
      <c r="J4" s="53" t="s">
        <v>227</v>
      </c>
      <c r="K4" s="53" t="s">
        <v>231</v>
      </c>
      <c r="L4" s="53" t="s">
        <v>228</v>
      </c>
      <c r="M4" s="53" t="s">
        <v>229</v>
      </c>
      <c r="N4" s="196" t="s">
        <v>230</v>
      </c>
      <c r="O4" s="147" t="s">
        <v>226</v>
      </c>
      <c r="P4" s="147" t="s">
        <v>227</v>
      </c>
      <c r="Q4" s="147" t="s">
        <v>232</v>
      </c>
      <c r="R4" s="147" t="s">
        <v>228</v>
      </c>
      <c r="S4" s="147" t="s">
        <v>229</v>
      </c>
      <c r="T4" s="196" t="s">
        <v>233</v>
      </c>
      <c r="U4" s="196" t="s">
        <v>234</v>
      </c>
      <c r="V4" s="53" t="s">
        <v>235</v>
      </c>
      <c r="W4" s="53" t="s">
        <v>149</v>
      </c>
    </row>
    <row r="5" spans="1:23" hidden="1" x14ac:dyDescent="0.2">
      <c r="A5" s="241">
        <v>9257010</v>
      </c>
      <c r="B5" s="42" t="s">
        <v>67</v>
      </c>
      <c r="C5" s="43">
        <v>3</v>
      </c>
      <c r="D5" s="54">
        <f>'Revised Band Returns'!F5</f>
        <v>0.30952380952380953</v>
      </c>
      <c r="E5" s="54">
        <f>'Revised Band Returns'!H5</f>
        <v>0.5</v>
      </c>
      <c r="F5" s="54">
        <f>'Revised Band Returns'!J5</f>
        <v>0</v>
      </c>
      <c r="G5" s="54">
        <f>'Revised Band Returns'!L5</f>
        <v>4.7619047619047616E-2</v>
      </c>
      <c r="H5" s="54">
        <f>'Revised Band Returns'!N5</f>
        <v>0.14285714285714285</v>
      </c>
      <c r="I5" s="191">
        <v>29</v>
      </c>
      <c r="J5" s="191">
        <v>14</v>
      </c>
      <c r="K5" s="192">
        <f>SUM(I5:J5)</f>
        <v>43</v>
      </c>
      <c r="L5" s="84">
        <f>((((I5*D5)*$G$31)+((I5*E5)*$G$33)+((I5*F5)*$G$35)+((I5*G5)*$G$37)+((I5*H5)*$G$39)+((I5*H5)*$G$41)))*(5/12)</f>
        <v>119594.99352164795</v>
      </c>
      <c r="M5" s="84">
        <f>((((J5*D5)*$G$31)+((J5*E5)*$G$33)+((J5*F5)*$G$35)+((J5*G5)*$G$37)+((J5*H5)*$G$39)+((J5*H5)*$G$41)))*(5/12)</f>
        <v>57735.514113899037</v>
      </c>
      <c r="N5" s="197">
        <f>SUM(L5:M5)</f>
        <v>177330.50763554699</v>
      </c>
      <c r="O5" s="195">
        <v>35</v>
      </c>
      <c r="P5" s="195">
        <v>8</v>
      </c>
      <c r="Q5" s="195">
        <f>SUM(O5:P5)</f>
        <v>43</v>
      </c>
      <c r="R5" s="84">
        <f>((((O5*D5)*$G$31)+((O5*E5)*$G$33)+((O5*F5)*$G$35)+((O5*G5)*$G$37)+((O5*H5)*$G$39)+((O5*H5)*$G$41)))*(7/12)</f>
        <v>202074.2993986466</v>
      </c>
      <c r="S5" s="84">
        <f>((((P5*D5)*$G$31)+((P5*E5)*$G$33)+((P5*F5)*$G$35)+((P5*G5)*$G$37)+((P5*H5)*$G$39)+((P5*H5)*$G$41)))*(7/12)</f>
        <v>46188.411291119228</v>
      </c>
      <c r="T5" s="200">
        <f>SUM(R5:S5)</f>
        <v>248262.71068976584</v>
      </c>
      <c r="U5" s="200">
        <f>N5+T5</f>
        <v>425593.21832531283</v>
      </c>
      <c r="V5" s="187">
        <f>((5/12)*K5)+((7/12)*Q5)</f>
        <v>43</v>
      </c>
      <c r="W5" s="148">
        <f>U5/V5</f>
        <v>9897.5167052398338</v>
      </c>
    </row>
    <row r="6" spans="1:23" hidden="1" x14ac:dyDescent="0.2">
      <c r="A6" s="241">
        <v>9257005</v>
      </c>
      <c r="B6" s="42" t="s">
        <v>68</v>
      </c>
      <c r="C6" s="43">
        <v>3</v>
      </c>
      <c r="D6" s="54">
        <f>'Revised Band Returns'!F6</f>
        <v>0.1206896551724138</v>
      </c>
      <c r="E6" s="54">
        <f>'Revised Band Returns'!H6</f>
        <v>0.39655172413793105</v>
      </c>
      <c r="F6" s="54">
        <f>'Revised Band Returns'!J6</f>
        <v>0.27586206896551724</v>
      </c>
      <c r="G6" s="54">
        <f>'Revised Band Returns'!L6</f>
        <v>8.6206896551724144E-2</v>
      </c>
      <c r="H6" s="54">
        <f>'Revised Band Returns'!N6</f>
        <v>0.1206896551724138</v>
      </c>
      <c r="I6" s="191">
        <v>38</v>
      </c>
      <c r="J6" s="191">
        <v>25</v>
      </c>
      <c r="K6" s="192">
        <f t="shared" ref="K6:K25" si="0">SUM(I6:J6)</f>
        <v>63</v>
      </c>
      <c r="L6" s="84">
        <f t="shared" ref="L6:L25" si="1">((((I6*D6)*$G$31)+((I6*E6)*$G$33)+((I6*F6)*$G$35)+((I6*G6)*$G$37)+((I6*H6)*$G$39)+((I6*H6)*$G$41)))*(5/12)</f>
        <v>139100.36057828771</v>
      </c>
      <c r="M6" s="84">
        <f t="shared" ref="M6:M25" si="2">((((J6*D6)*$G$31)+((J6*E6)*$G$33)+((J6*F6)*$G$35)+((J6*G6)*$G$37)+((J6*H6)*$G$39)+((J6*H6)*$G$41)))*(5/12)</f>
        <v>91513.395117294538</v>
      </c>
      <c r="N6" s="197">
        <f t="shared" ref="N6:N25" si="3">SUM(L6:M6)</f>
        <v>230613.75569558225</v>
      </c>
      <c r="O6" s="195">
        <v>38</v>
      </c>
      <c r="P6" s="195">
        <v>25</v>
      </c>
      <c r="Q6" s="195">
        <f t="shared" ref="Q6:Q25" si="4">SUM(O6:P6)</f>
        <v>63</v>
      </c>
      <c r="R6" s="84">
        <f t="shared" ref="R6:R25" si="5">((((O6*D6)*$G$31)+((O6*E6)*$G$33)+((O6*F6)*$G$35)+((O6*G6)*$G$37)+((O6*H6)*$G$39)+((O6*H6)*$G$41)))*(7/12)</f>
        <v>194740.5048096028</v>
      </c>
      <c r="S6" s="84">
        <f t="shared" ref="S6:S25" si="6">((((P6*D6)*$G$31)+((P6*E6)*$G$33)+((P6*F6)*$G$35)+((P6*G6)*$G$37)+((P6*H6)*$G$39)+((P6*H6)*$G$41)))*(7/12)</f>
        <v>128118.75316421235</v>
      </c>
      <c r="T6" s="200">
        <f t="shared" ref="T6:T25" si="7">SUM(R6:S6)</f>
        <v>322859.25797381514</v>
      </c>
      <c r="U6" s="200">
        <f t="shared" ref="U6:U25" si="8">N6+T6</f>
        <v>553473.01366939745</v>
      </c>
      <c r="V6" s="187">
        <f t="shared" ref="V6:V25" si="9">((5/12)*K6)+((7/12)*Q6)</f>
        <v>63</v>
      </c>
      <c r="W6" s="148">
        <f t="shared" ref="W6:W25" si="10">U6/V6</f>
        <v>8785.2859312602777</v>
      </c>
    </row>
    <row r="7" spans="1:23" hidden="1" x14ac:dyDescent="0.2">
      <c r="A7" s="241">
        <v>9257025</v>
      </c>
      <c r="B7" s="42" t="s">
        <v>69</v>
      </c>
      <c r="C7" s="43">
        <v>3</v>
      </c>
      <c r="D7" s="54">
        <f>'Revised Band Returns'!F7</f>
        <v>0.32608695652173914</v>
      </c>
      <c r="E7" s="54">
        <f>'Revised Band Returns'!H7</f>
        <v>0.34782608695652173</v>
      </c>
      <c r="F7" s="54">
        <f>'Revised Band Returns'!J7</f>
        <v>0</v>
      </c>
      <c r="G7" s="54">
        <f>'Revised Band Returns'!L7</f>
        <v>4.3478260869565216E-2</v>
      </c>
      <c r="H7" s="54">
        <f>'Revised Band Returns'!N7</f>
        <v>0.28260869565217389</v>
      </c>
      <c r="I7" s="191">
        <v>41</v>
      </c>
      <c r="J7" s="191">
        <v>12</v>
      </c>
      <c r="K7" s="192">
        <f t="shared" si="0"/>
        <v>53</v>
      </c>
      <c r="L7" s="84">
        <f t="shared" si="1"/>
        <v>186660.86075141121</v>
      </c>
      <c r="M7" s="84">
        <f t="shared" si="2"/>
        <v>54632.447049193535</v>
      </c>
      <c r="N7" s="197">
        <f t="shared" si="3"/>
        <v>241293.30780060473</v>
      </c>
      <c r="O7" s="195">
        <v>39</v>
      </c>
      <c r="P7" s="195">
        <v>14</v>
      </c>
      <c r="Q7" s="195">
        <f t="shared" si="4"/>
        <v>53</v>
      </c>
      <c r="R7" s="84">
        <f t="shared" si="5"/>
        <v>248577.63407383056</v>
      </c>
      <c r="S7" s="84">
        <f t="shared" si="6"/>
        <v>89232.996847016097</v>
      </c>
      <c r="T7" s="200">
        <f t="shared" si="7"/>
        <v>337810.63092084666</v>
      </c>
      <c r="U7" s="200">
        <f t="shared" si="8"/>
        <v>579103.93872145144</v>
      </c>
      <c r="V7" s="187">
        <f t="shared" si="9"/>
        <v>53</v>
      </c>
      <c r="W7" s="148">
        <f t="shared" si="10"/>
        <v>10926.489409838707</v>
      </c>
    </row>
    <row r="8" spans="1:23" hidden="1" x14ac:dyDescent="0.2">
      <c r="A8" s="241">
        <v>9257011</v>
      </c>
      <c r="B8" s="42" t="s">
        <v>70</v>
      </c>
      <c r="C8" s="43">
        <v>3</v>
      </c>
      <c r="D8" s="54">
        <f>'Revised Band Returns'!F8</f>
        <v>0.35</v>
      </c>
      <c r="E8" s="54">
        <f>'Revised Band Returns'!H8</f>
        <v>0.375</v>
      </c>
      <c r="F8" s="54">
        <f>'Revised Band Returns'!J8</f>
        <v>2.5000000000000001E-2</v>
      </c>
      <c r="G8" s="54">
        <f>'Revised Band Returns'!L8</f>
        <v>2.5000000000000001E-2</v>
      </c>
      <c r="H8" s="54">
        <f>'Revised Band Returns'!N8</f>
        <v>0.22500000000000001</v>
      </c>
      <c r="I8" s="191">
        <v>38</v>
      </c>
      <c r="J8" s="191">
        <v>3</v>
      </c>
      <c r="K8" s="192">
        <f t="shared" si="0"/>
        <v>41</v>
      </c>
      <c r="L8" s="84">
        <f t="shared" si="1"/>
        <v>166574.49625527041</v>
      </c>
      <c r="M8" s="84">
        <f t="shared" si="2"/>
        <v>13150.618125416086</v>
      </c>
      <c r="N8" s="197">
        <f t="shared" si="3"/>
        <v>179725.11438068649</v>
      </c>
      <c r="O8" s="195">
        <v>39</v>
      </c>
      <c r="P8" s="195">
        <v>2</v>
      </c>
      <c r="Q8" s="195">
        <f t="shared" si="4"/>
        <v>41</v>
      </c>
      <c r="R8" s="84">
        <f t="shared" si="5"/>
        <v>239341.24988257277</v>
      </c>
      <c r="S8" s="84">
        <f t="shared" si="6"/>
        <v>12273.910250388348</v>
      </c>
      <c r="T8" s="200">
        <f t="shared" si="7"/>
        <v>251615.16013296111</v>
      </c>
      <c r="U8" s="200">
        <f t="shared" si="8"/>
        <v>431340.2745136476</v>
      </c>
      <c r="V8" s="187">
        <f t="shared" si="9"/>
        <v>41</v>
      </c>
      <c r="W8" s="148">
        <f t="shared" si="10"/>
        <v>10520.494500332868</v>
      </c>
    </row>
    <row r="9" spans="1:23" hidden="1" x14ac:dyDescent="0.2">
      <c r="A9" s="241">
        <v>9257024</v>
      </c>
      <c r="B9" s="42" t="s">
        <v>71</v>
      </c>
      <c r="C9" s="43">
        <v>3</v>
      </c>
      <c r="D9" s="54">
        <f>'Revised Band Returns'!F9</f>
        <v>0.15217391304347827</v>
      </c>
      <c r="E9" s="54">
        <f>'Revised Band Returns'!H9</f>
        <v>0.65217391304347827</v>
      </c>
      <c r="F9" s="54">
        <f>'Revised Band Returns'!J9</f>
        <v>2.1739130434782608E-2</v>
      </c>
      <c r="G9" s="54">
        <f>'Revised Band Returns'!L9</f>
        <v>0.15217391304347827</v>
      </c>
      <c r="H9" s="54">
        <f>'Revised Band Returns'!N9</f>
        <v>2.1739130434782608E-2</v>
      </c>
      <c r="I9" s="191">
        <v>38</v>
      </c>
      <c r="J9" s="191">
        <v>9</v>
      </c>
      <c r="K9" s="192">
        <f t="shared" si="0"/>
        <v>47</v>
      </c>
      <c r="L9" s="84">
        <f t="shared" si="1"/>
        <v>139320.71497922856</v>
      </c>
      <c r="M9" s="84">
        <f t="shared" si="2"/>
        <v>32997.011442448857</v>
      </c>
      <c r="N9" s="197">
        <f t="shared" si="3"/>
        <v>172317.72642167742</v>
      </c>
      <c r="O9" s="195">
        <v>36</v>
      </c>
      <c r="P9" s="195">
        <v>11</v>
      </c>
      <c r="Q9" s="195">
        <f t="shared" si="4"/>
        <v>47</v>
      </c>
      <c r="R9" s="84">
        <f t="shared" si="5"/>
        <v>184783.2640777136</v>
      </c>
      <c r="S9" s="84">
        <f t="shared" si="6"/>
        <v>56461.552912634725</v>
      </c>
      <c r="T9" s="200">
        <f t="shared" si="7"/>
        <v>241244.81699034834</v>
      </c>
      <c r="U9" s="200">
        <f t="shared" si="8"/>
        <v>413562.54341202579</v>
      </c>
      <c r="V9" s="187">
        <f t="shared" si="9"/>
        <v>47</v>
      </c>
      <c r="W9" s="148">
        <f t="shared" si="10"/>
        <v>8799.2030513196969</v>
      </c>
    </row>
    <row r="10" spans="1:23" hidden="1" x14ac:dyDescent="0.2">
      <c r="A10" s="241">
        <v>9257031</v>
      </c>
      <c r="B10" s="42" t="s">
        <v>98</v>
      </c>
      <c r="C10" s="43">
        <v>3</v>
      </c>
      <c r="D10" s="54">
        <f>'Revised Band Returns'!F10</f>
        <v>0</v>
      </c>
      <c r="E10" s="54">
        <f>'Revised Band Returns'!H10</f>
        <v>0</v>
      </c>
      <c r="F10" s="54">
        <f>'Revised Band Returns'!J10</f>
        <v>0</v>
      </c>
      <c r="G10" s="54">
        <f>'Revised Band Returns'!L10</f>
        <v>0</v>
      </c>
      <c r="H10" s="54">
        <f>'Revised Band Returns'!N10</f>
        <v>1</v>
      </c>
      <c r="I10" s="191">
        <v>61</v>
      </c>
      <c r="J10" s="191">
        <v>0</v>
      </c>
      <c r="K10" s="192">
        <f t="shared" si="0"/>
        <v>61</v>
      </c>
      <c r="L10" s="84">
        <f t="shared" si="1"/>
        <v>364146.32506795577</v>
      </c>
      <c r="M10" s="84">
        <f t="shared" si="2"/>
        <v>0</v>
      </c>
      <c r="N10" s="197">
        <f t="shared" si="3"/>
        <v>364146.32506795577</v>
      </c>
      <c r="O10" s="195">
        <v>61</v>
      </c>
      <c r="P10" s="195">
        <v>0</v>
      </c>
      <c r="Q10" s="195">
        <f t="shared" si="4"/>
        <v>61</v>
      </c>
      <c r="R10" s="84">
        <f t="shared" si="5"/>
        <v>509804.85509513813</v>
      </c>
      <c r="S10" s="84">
        <f t="shared" si="6"/>
        <v>0</v>
      </c>
      <c r="T10" s="200">
        <f t="shared" si="7"/>
        <v>509804.85509513813</v>
      </c>
      <c r="U10" s="200">
        <f t="shared" si="8"/>
        <v>873951.18016309384</v>
      </c>
      <c r="V10" s="187">
        <f t="shared" si="9"/>
        <v>61</v>
      </c>
      <c r="W10" s="148">
        <f t="shared" si="10"/>
        <v>14327.068527263833</v>
      </c>
    </row>
    <row r="11" spans="1:23" hidden="1" x14ac:dyDescent="0.2">
      <c r="A11" s="241">
        <v>9257033</v>
      </c>
      <c r="B11" s="42" t="s">
        <v>72</v>
      </c>
      <c r="C11" s="43">
        <v>3</v>
      </c>
      <c r="D11" s="54">
        <f>'Revised Band Returns'!F11</f>
        <v>8.6956521739130432E-2</v>
      </c>
      <c r="E11" s="54">
        <f>'Revised Band Returns'!H11</f>
        <v>0.21739130434782608</v>
      </c>
      <c r="F11" s="54">
        <f>'Revised Band Returns'!J11</f>
        <v>0.5</v>
      </c>
      <c r="G11" s="54">
        <f>'Revised Band Returns'!L11</f>
        <v>4.3478260869565216E-2</v>
      </c>
      <c r="H11" s="54">
        <f>'Revised Band Returns'!N11</f>
        <v>0.15217391304347827</v>
      </c>
      <c r="I11" s="191">
        <v>60</v>
      </c>
      <c r="J11" s="191">
        <v>0</v>
      </c>
      <c r="K11" s="192">
        <f t="shared" si="0"/>
        <v>60</v>
      </c>
      <c r="L11" s="84">
        <f t="shared" si="1"/>
        <v>210624.28604617293</v>
      </c>
      <c r="M11" s="84">
        <f t="shared" si="2"/>
        <v>0</v>
      </c>
      <c r="N11" s="197">
        <f t="shared" si="3"/>
        <v>210624.28604617293</v>
      </c>
      <c r="O11" s="195">
        <v>60</v>
      </c>
      <c r="P11" s="195">
        <v>0</v>
      </c>
      <c r="Q11" s="195">
        <f t="shared" si="4"/>
        <v>60</v>
      </c>
      <c r="R11" s="84">
        <f t="shared" si="5"/>
        <v>294874.00046464213</v>
      </c>
      <c r="S11" s="84">
        <f t="shared" si="6"/>
        <v>0</v>
      </c>
      <c r="T11" s="200">
        <f t="shared" si="7"/>
        <v>294874.00046464213</v>
      </c>
      <c r="U11" s="200">
        <f t="shared" si="8"/>
        <v>505498.28651081503</v>
      </c>
      <c r="V11" s="187">
        <f t="shared" si="9"/>
        <v>60</v>
      </c>
      <c r="W11" s="148">
        <f t="shared" si="10"/>
        <v>8424.9714418469175</v>
      </c>
    </row>
    <row r="12" spans="1:23" hidden="1" x14ac:dyDescent="0.2">
      <c r="A12" s="241">
        <v>9257008</v>
      </c>
      <c r="B12" s="42" t="s">
        <v>73</v>
      </c>
      <c r="C12" s="43">
        <v>3</v>
      </c>
      <c r="D12" s="54">
        <f>'Revised Band Returns'!F12</f>
        <v>0</v>
      </c>
      <c r="E12" s="54">
        <f>'Revised Band Returns'!H12</f>
        <v>0.10526315789473684</v>
      </c>
      <c r="F12" s="54">
        <f>'Revised Band Returns'!J12</f>
        <v>0.55263157894736847</v>
      </c>
      <c r="G12" s="54">
        <f>'Revised Band Returns'!L12</f>
        <v>1.3157894736842105E-2</v>
      </c>
      <c r="H12" s="54">
        <f>'Revised Band Returns'!N12</f>
        <v>0.32894736842105265</v>
      </c>
      <c r="I12" s="191">
        <v>84</v>
      </c>
      <c r="J12" s="191">
        <v>0</v>
      </c>
      <c r="K12" s="192">
        <f t="shared" si="0"/>
        <v>84</v>
      </c>
      <c r="L12" s="84">
        <f t="shared" si="1"/>
        <v>318180.53201804025</v>
      </c>
      <c r="M12" s="84">
        <f t="shared" si="2"/>
        <v>0</v>
      </c>
      <c r="N12" s="197">
        <f t="shared" si="3"/>
        <v>318180.53201804025</v>
      </c>
      <c r="O12" s="195">
        <v>84</v>
      </c>
      <c r="P12" s="195">
        <v>0</v>
      </c>
      <c r="Q12" s="195">
        <f t="shared" si="4"/>
        <v>84</v>
      </c>
      <c r="R12" s="84">
        <f t="shared" si="5"/>
        <v>445452.74482525635</v>
      </c>
      <c r="S12" s="84">
        <f t="shared" si="6"/>
        <v>0</v>
      </c>
      <c r="T12" s="200">
        <f t="shared" si="7"/>
        <v>445452.74482525635</v>
      </c>
      <c r="U12" s="200">
        <f t="shared" si="8"/>
        <v>763633.2768432966</v>
      </c>
      <c r="V12" s="187">
        <f t="shared" si="9"/>
        <v>84</v>
      </c>
      <c r="W12" s="148">
        <f t="shared" si="10"/>
        <v>9090.8723433725791</v>
      </c>
    </row>
    <row r="13" spans="1:23" hidden="1" x14ac:dyDescent="0.2">
      <c r="A13" s="241">
        <v>9257034</v>
      </c>
      <c r="B13" s="42" t="s">
        <v>74</v>
      </c>
      <c r="C13" s="43">
        <v>4</v>
      </c>
      <c r="D13" s="54">
        <f>'Revised Band Returns'!F13</f>
        <v>5.3571428571428568E-2</v>
      </c>
      <c r="E13" s="54">
        <f>'Revised Band Returns'!H13</f>
        <v>7.1428571428571425E-2</v>
      </c>
      <c r="F13" s="54">
        <f>'Revised Band Returns'!J13</f>
        <v>0.6696428571428571</v>
      </c>
      <c r="G13" s="54">
        <f>'Revised Band Returns'!L13</f>
        <v>2.6785714285714284E-2</v>
      </c>
      <c r="H13" s="54">
        <f>'Revised Band Returns'!N13</f>
        <v>0.17857142857142858</v>
      </c>
      <c r="I13" s="191">
        <v>82</v>
      </c>
      <c r="J13" s="191">
        <v>27</v>
      </c>
      <c r="K13" s="192">
        <f t="shared" si="0"/>
        <v>109</v>
      </c>
      <c r="L13" s="84">
        <f t="shared" si="1"/>
        <v>280303.95224728779</v>
      </c>
      <c r="M13" s="84">
        <f t="shared" si="2"/>
        <v>92295.203788741113</v>
      </c>
      <c r="N13" s="197">
        <f t="shared" si="3"/>
        <v>372599.15603602887</v>
      </c>
      <c r="O13" s="195">
        <v>78</v>
      </c>
      <c r="P13" s="195">
        <v>31</v>
      </c>
      <c r="Q13" s="195">
        <f t="shared" si="4"/>
        <v>109</v>
      </c>
      <c r="R13" s="84">
        <f t="shared" si="5"/>
        <v>373282.8242122418</v>
      </c>
      <c r="S13" s="84">
        <f t="shared" si="6"/>
        <v>148355.99423819865</v>
      </c>
      <c r="T13" s="200">
        <f t="shared" si="7"/>
        <v>521638.81845044042</v>
      </c>
      <c r="U13" s="200">
        <f t="shared" si="8"/>
        <v>894237.97448646929</v>
      </c>
      <c r="V13" s="187">
        <f t="shared" si="9"/>
        <v>109</v>
      </c>
      <c r="W13" s="148">
        <f t="shared" si="10"/>
        <v>8204.0181145547649</v>
      </c>
    </row>
    <row r="14" spans="1:23" hidden="1" x14ac:dyDescent="0.2">
      <c r="A14" s="241">
        <v>9257002</v>
      </c>
      <c r="B14" s="42" t="s">
        <v>75</v>
      </c>
      <c r="C14" s="43">
        <v>4</v>
      </c>
      <c r="D14" s="54">
        <f>'Revised Band Returns'!F14</f>
        <v>1.6260162601626018E-2</v>
      </c>
      <c r="E14" s="54">
        <f>'Revised Band Returns'!H14</f>
        <v>0.25203252032520324</v>
      </c>
      <c r="F14" s="54">
        <f>'Revised Band Returns'!J14</f>
        <v>0.64227642276422769</v>
      </c>
      <c r="G14" s="54">
        <f>'Revised Band Returns'!L14</f>
        <v>0</v>
      </c>
      <c r="H14" s="54">
        <f>'Revised Band Returns'!N14</f>
        <v>8.943089430894309E-2</v>
      </c>
      <c r="I14" s="191">
        <v>130</v>
      </c>
      <c r="J14" s="191">
        <v>0</v>
      </c>
      <c r="K14" s="192">
        <f t="shared" si="0"/>
        <v>130</v>
      </c>
      <c r="L14" s="84">
        <f t="shared" si="1"/>
        <v>397262.04589398362</v>
      </c>
      <c r="M14" s="84">
        <f t="shared" si="2"/>
        <v>0</v>
      </c>
      <c r="N14" s="197">
        <f t="shared" si="3"/>
        <v>397262.04589398362</v>
      </c>
      <c r="O14" s="195">
        <v>130</v>
      </c>
      <c r="P14" s="195">
        <v>0</v>
      </c>
      <c r="Q14" s="195">
        <f t="shared" si="4"/>
        <v>130</v>
      </c>
      <c r="R14" s="84">
        <f t="shared" si="5"/>
        <v>556166.86425157706</v>
      </c>
      <c r="S14" s="84">
        <f t="shared" si="6"/>
        <v>0</v>
      </c>
      <c r="T14" s="200">
        <f t="shared" si="7"/>
        <v>556166.86425157706</v>
      </c>
      <c r="U14" s="200">
        <f t="shared" si="8"/>
        <v>953428.91014556075</v>
      </c>
      <c r="V14" s="187">
        <f t="shared" si="9"/>
        <v>130</v>
      </c>
      <c r="W14" s="148">
        <f t="shared" si="10"/>
        <v>7334.0685395812361</v>
      </c>
    </row>
    <row r="15" spans="1:23" hidden="1" x14ac:dyDescent="0.2">
      <c r="A15" s="241">
        <v>9257009</v>
      </c>
      <c r="B15" s="42" t="s">
        <v>76</v>
      </c>
      <c r="C15" s="43">
        <v>4</v>
      </c>
      <c r="D15" s="54">
        <f>'Revised Band Returns'!F15</f>
        <v>0</v>
      </c>
      <c r="E15" s="54">
        <f>'Revised Band Returns'!H15</f>
        <v>0.192</v>
      </c>
      <c r="F15" s="54">
        <f>'Revised Band Returns'!J15</f>
        <v>0.66400000000000003</v>
      </c>
      <c r="G15" s="54">
        <f>'Revised Band Returns'!L15</f>
        <v>0</v>
      </c>
      <c r="H15" s="54">
        <f>'Revised Band Returns'!N15</f>
        <v>0.14399999999999999</v>
      </c>
      <c r="I15" s="191">
        <v>131</v>
      </c>
      <c r="J15" s="191">
        <v>0</v>
      </c>
      <c r="K15" s="192">
        <f t="shared" si="0"/>
        <v>131</v>
      </c>
      <c r="L15" s="84">
        <f t="shared" si="1"/>
        <v>415933.63426517654</v>
      </c>
      <c r="M15" s="84">
        <f t="shared" si="2"/>
        <v>0</v>
      </c>
      <c r="N15" s="197">
        <f t="shared" si="3"/>
        <v>415933.63426517654</v>
      </c>
      <c r="O15" s="195">
        <v>131</v>
      </c>
      <c r="P15" s="195">
        <v>0</v>
      </c>
      <c r="Q15" s="195">
        <f t="shared" si="4"/>
        <v>131</v>
      </c>
      <c r="R15" s="84">
        <f t="shared" si="5"/>
        <v>582307.08797124715</v>
      </c>
      <c r="S15" s="84">
        <f t="shared" si="6"/>
        <v>0</v>
      </c>
      <c r="T15" s="200">
        <f t="shared" si="7"/>
        <v>582307.08797124715</v>
      </c>
      <c r="U15" s="200">
        <f t="shared" si="8"/>
        <v>998240.72223642375</v>
      </c>
      <c r="V15" s="187">
        <f t="shared" si="9"/>
        <v>131</v>
      </c>
      <c r="W15" s="148">
        <f t="shared" si="10"/>
        <v>7620.1581850108687</v>
      </c>
    </row>
    <row r="16" spans="1:23" hidden="1" x14ac:dyDescent="0.2">
      <c r="A16" s="241">
        <v>9257029</v>
      </c>
      <c r="B16" s="42" t="s">
        <v>99</v>
      </c>
      <c r="C16" s="43">
        <v>4</v>
      </c>
      <c r="D16" s="54">
        <f>'Revised Band Returns'!F16</f>
        <v>0</v>
      </c>
      <c r="E16" s="54">
        <f>'Revised Band Returns'!H16</f>
        <v>0</v>
      </c>
      <c r="F16" s="54">
        <f>'Revised Band Returns'!J16</f>
        <v>0</v>
      </c>
      <c r="G16" s="54">
        <f>'Revised Band Returns'!L16</f>
        <v>0</v>
      </c>
      <c r="H16" s="54">
        <f>'Revised Band Returns'!N16</f>
        <v>1</v>
      </c>
      <c r="I16" s="191">
        <v>62</v>
      </c>
      <c r="J16" s="191">
        <v>0</v>
      </c>
      <c r="K16" s="192">
        <f t="shared" si="0"/>
        <v>62</v>
      </c>
      <c r="L16" s="84">
        <f t="shared" si="1"/>
        <v>370115.93695431569</v>
      </c>
      <c r="M16" s="84">
        <f t="shared" si="2"/>
        <v>0</v>
      </c>
      <c r="N16" s="197">
        <f t="shared" si="3"/>
        <v>370115.93695431569</v>
      </c>
      <c r="O16" s="195">
        <v>62</v>
      </c>
      <c r="P16" s="195">
        <v>0</v>
      </c>
      <c r="Q16" s="195">
        <f t="shared" si="4"/>
        <v>62</v>
      </c>
      <c r="R16" s="84">
        <f t="shared" si="5"/>
        <v>518162.31173604203</v>
      </c>
      <c r="S16" s="84">
        <f t="shared" si="6"/>
        <v>0</v>
      </c>
      <c r="T16" s="200">
        <f t="shared" si="7"/>
        <v>518162.31173604203</v>
      </c>
      <c r="U16" s="200">
        <f t="shared" si="8"/>
        <v>888278.24869035766</v>
      </c>
      <c r="V16" s="187">
        <f t="shared" si="9"/>
        <v>62.000000000000007</v>
      </c>
      <c r="W16" s="148">
        <f t="shared" si="10"/>
        <v>14327.068527263831</v>
      </c>
    </row>
    <row r="17" spans="1:23" hidden="1" x14ac:dyDescent="0.2">
      <c r="A17" s="241">
        <v>9257032</v>
      </c>
      <c r="B17" s="42" t="s">
        <v>100</v>
      </c>
      <c r="C17" s="43">
        <v>4</v>
      </c>
      <c r="D17" s="54">
        <f>'Revised Band Returns'!F17</f>
        <v>0</v>
      </c>
      <c r="E17" s="54">
        <f>'Revised Band Returns'!H17</f>
        <v>0</v>
      </c>
      <c r="F17" s="54">
        <f>'Revised Band Returns'!J17</f>
        <v>0</v>
      </c>
      <c r="G17" s="54">
        <f>'Revised Band Returns'!L17</f>
        <v>0</v>
      </c>
      <c r="H17" s="54">
        <f>'Revised Band Returns'!N17</f>
        <v>1</v>
      </c>
      <c r="I17" s="191">
        <v>59</v>
      </c>
      <c r="J17" s="191">
        <v>0</v>
      </c>
      <c r="K17" s="192">
        <f t="shared" si="0"/>
        <v>59</v>
      </c>
      <c r="L17" s="84">
        <f t="shared" si="1"/>
        <v>352207.10129523586</v>
      </c>
      <c r="M17" s="84">
        <f t="shared" si="2"/>
        <v>0</v>
      </c>
      <c r="N17" s="197">
        <f t="shared" si="3"/>
        <v>352207.10129523586</v>
      </c>
      <c r="O17" s="195">
        <v>59</v>
      </c>
      <c r="P17" s="195">
        <v>0</v>
      </c>
      <c r="Q17" s="195">
        <f t="shared" si="4"/>
        <v>59</v>
      </c>
      <c r="R17" s="84">
        <f t="shared" si="5"/>
        <v>493089.94181333022</v>
      </c>
      <c r="S17" s="84">
        <f t="shared" si="6"/>
        <v>0</v>
      </c>
      <c r="T17" s="200">
        <f t="shared" si="7"/>
        <v>493089.94181333022</v>
      </c>
      <c r="U17" s="200">
        <f t="shared" si="8"/>
        <v>845297.04310856608</v>
      </c>
      <c r="V17" s="187">
        <f t="shared" si="9"/>
        <v>59.000000000000007</v>
      </c>
      <c r="W17" s="148">
        <f t="shared" si="10"/>
        <v>14327.068527263829</v>
      </c>
    </row>
    <row r="18" spans="1:23" hidden="1" x14ac:dyDescent="0.2">
      <c r="A18" s="241">
        <v>9257030</v>
      </c>
      <c r="B18" s="42" t="s">
        <v>92</v>
      </c>
      <c r="C18" s="43">
        <v>4</v>
      </c>
      <c r="D18" s="54">
        <f>'Revised Band Returns'!F18</f>
        <v>0</v>
      </c>
      <c r="E18" s="54">
        <f>'Revised Band Returns'!H18</f>
        <v>0</v>
      </c>
      <c r="F18" s="54">
        <f>'Revised Band Returns'!J18</f>
        <v>0</v>
      </c>
      <c r="G18" s="54">
        <f>'Revised Band Returns'!L18</f>
        <v>0</v>
      </c>
      <c r="H18" s="54">
        <f>'Revised Band Returns'!N18</f>
        <v>1</v>
      </c>
      <c r="I18" s="191">
        <v>55</v>
      </c>
      <c r="J18" s="191">
        <v>0</v>
      </c>
      <c r="K18" s="192">
        <f t="shared" si="0"/>
        <v>55</v>
      </c>
      <c r="L18" s="84">
        <f t="shared" si="1"/>
        <v>328328.65374979615</v>
      </c>
      <c r="M18" s="84">
        <f t="shared" si="2"/>
        <v>0</v>
      </c>
      <c r="N18" s="197">
        <f t="shared" si="3"/>
        <v>328328.65374979615</v>
      </c>
      <c r="O18" s="195">
        <v>55</v>
      </c>
      <c r="P18" s="195">
        <v>0</v>
      </c>
      <c r="Q18" s="195">
        <f t="shared" si="4"/>
        <v>55</v>
      </c>
      <c r="R18" s="84">
        <f t="shared" si="5"/>
        <v>459660.11524971464</v>
      </c>
      <c r="S18" s="84">
        <f t="shared" si="6"/>
        <v>0</v>
      </c>
      <c r="T18" s="200">
        <f t="shared" si="7"/>
        <v>459660.11524971464</v>
      </c>
      <c r="U18" s="200">
        <f t="shared" si="8"/>
        <v>787988.76899951079</v>
      </c>
      <c r="V18" s="187">
        <f t="shared" si="9"/>
        <v>55</v>
      </c>
      <c r="W18" s="148">
        <f t="shared" si="10"/>
        <v>14327.068527263833</v>
      </c>
    </row>
    <row r="19" spans="1:23" hidden="1" x14ac:dyDescent="0.2">
      <c r="A19" s="241">
        <v>9257028</v>
      </c>
      <c r="B19" s="42" t="s">
        <v>77</v>
      </c>
      <c r="C19" s="43">
        <v>4</v>
      </c>
      <c r="D19" s="54">
        <f>'Revised Band Returns'!F19</f>
        <v>0.25714285714285712</v>
      </c>
      <c r="E19" s="54">
        <f>'Revised Band Returns'!H19</f>
        <v>0.31428571428571428</v>
      </c>
      <c r="F19" s="54">
        <f>'Revised Band Returns'!J19</f>
        <v>5.7142857142857141E-2</v>
      </c>
      <c r="G19" s="54">
        <f>'Revised Band Returns'!L19</f>
        <v>0.15714285714285714</v>
      </c>
      <c r="H19" s="54">
        <f>'Revised Band Returns'!N19</f>
        <v>0.21428571428571427</v>
      </c>
      <c r="I19" s="191">
        <v>59</v>
      </c>
      <c r="J19" s="191">
        <v>14</v>
      </c>
      <c r="K19" s="192">
        <f t="shared" si="0"/>
        <v>73</v>
      </c>
      <c r="L19" s="84">
        <f t="shared" si="1"/>
        <v>260110.15586796915</v>
      </c>
      <c r="M19" s="84">
        <f t="shared" si="2"/>
        <v>61721.053934772346</v>
      </c>
      <c r="N19" s="197">
        <f t="shared" si="3"/>
        <v>321831.20980274148</v>
      </c>
      <c r="O19" s="195">
        <v>56</v>
      </c>
      <c r="P19" s="195">
        <v>17</v>
      </c>
      <c r="Q19" s="195">
        <f t="shared" si="4"/>
        <v>73</v>
      </c>
      <c r="R19" s="84">
        <f t="shared" si="5"/>
        <v>345637.90203472512</v>
      </c>
      <c r="S19" s="84">
        <f t="shared" si="6"/>
        <v>104925.79168911299</v>
      </c>
      <c r="T19" s="200">
        <f t="shared" si="7"/>
        <v>450563.69372383808</v>
      </c>
      <c r="U19" s="200">
        <f t="shared" si="8"/>
        <v>772394.9035265795</v>
      </c>
      <c r="V19" s="187">
        <f t="shared" si="9"/>
        <v>73</v>
      </c>
      <c r="W19" s="148">
        <f t="shared" si="10"/>
        <v>10580.752103103829</v>
      </c>
    </row>
    <row r="20" spans="1:23" hidden="1" x14ac:dyDescent="0.2">
      <c r="A20" s="241">
        <v>9257021</v>
      </c>
      <c r="B20" s="42" t="s">
        <v>78</v>
      </c>
      <c r="C20" s="43">
        <v>5</v>
      </c>
      <c r="D20" s="54">
        <f>'Revised Band Returns'!F20</f>
        <v>1.4598540145985401E-2</v>
      </c>
      <c r="E20" s="54">
        <f>'Revised Band Returns'!H20</f>
        <v>0.10948905109489052</v>
      </c>
      <c r="F20" s="54">
        <f>'Revised Band Returns'!J20</f>
        <v>0.74452554744525545</v>
      </c>
      <c r="G20" s="54">
        <f>'Revised Band Returns'!L20</f>
        <v>2.1897810218978103E-2</v>
      </c>
      <c r="H20" s="54">
        <f>'Revised Band Returns'!N20</f>
        <v>0.10948905109489052</v>
      </c>
      <c r="I20" s="191">
        <v>142</v>
      </c>
      <c r="J20" s="191">
        <v>0</v>
      </c>
      <c r="K20" s="192">
        <f t="shared" si="0"/>
        <v>142</v>
      </c>
      <c r="L20" s="84">
        <f t="shared" si="1"/>
        <v>440717.45291376894</v>
      </c>
      <c r="M20" s="84">
        <f t="shared" si="2"/>
        <v>0</v>
      </c>
      <c r="N20" s="197">
        <f t="shared" si="3"/>
        <v>440717.45291376894</v>
      </c>
      <c r="O20" s="195">
        <v>142</v>
      </c>
      <c r="P20" s="195">
        <v>0</v>
      </c>
      <c r="Q20" s="195">
        <f t="shared" si="4"/>
        <v>142</v>
      </c>
      <c r="R20" s="84">
        <f t="shared" si="5"/>
        <v>617004.43407927651</v>
      </c>
      <c r="S20" s="84">
        <f t="shared" si="6"/>
        <v>0</v>
      </c>
      <c r="T20" s="200">
        <f t="shared" si="7"/>
        <v>617004.43407927651</v>
      </c>
      <c r="U20" s="200">
        <f t="shared" si="8"/>
        <v>1057721.8869930455</v>
      </c>
      <c r="V20" s="187">
        <f t="shared" si="9"/>
        <v>142</v>
      </c>
      <c r="W20" s="148">
        <f t="shared" si="10"/>
        <v>7448.7456830496158</v>
      </c>
    </row>
    <row r="21" spans="1:23" hidden="1" x14ac:dyDescent="0.2">
      <c r="A21" s="241">
        <v>9257015</v>
      </c>
      <c r="B21" s="42" t="s">
        <v>57</v>
      </c>
      <c r="C21" s="43">
        <v>5</v>
      </c>
      <c r="D21" s="54">
        <f>'Revised Band Returns'!F21</f>
        <v>4.9723756906077346E-2</v>
      </c>
      <c r="E21" s="54">
        <f>'Revised Band Returns'!H21</f>
        <v>0.13812154696132597</v>
      </c>
      <c r="F21" s="54">
        <f>'Revised Band Returns'!J21</f>
        <v>0.71823204419889508</v>
      </c>
      <c r="G21" s="54">
        <f>'Revised Band Returns'!L21</f>
        <v>1.1049723756906077E-2</v>
      </c>
      <c r="H21" s="54">
        <f>'Revised Band Returns'!N21</f>
        <v>8.2872928176795577E-2</v>
      </c>
      <c r="I21" s="191">
        <v>211</v>
      </c>
      <c r="J21" s="191">
        <v>0</v>
      </c>
      <c r="K21" s="192">
        <f t="shared" si="0"/>
        <v>211</v>
      </c>
      <c r="L21" s="84">
        <f t="shared" si="1"/>
        <v>650367.66436397668</v>
      </c>
      <c r="M21" s="84">
        <f t="shared" si="2"/>
        <v>0</v>
      </c>
      <c r="N21" s="197">
        <f t="shared" si="3"/>
        <v>650367.66436397668</v>
      </c>
      <c r="O21" s="195">
        <v>228</v>
      </c>
      <c r="P21" s="195">
        <v>17</v>
      </c>
      <c r="Q21" s="195">
        <f t="shared" si="4"/>
        <v>245</v>
      </c>
      <c r="R21" s="84">
        <f t="shared" si="5"/>
        <v>983873.73680085957</v>
      </c>
      <c r="S21" s="84">
        <f t="shared" si="6"/>
        <v>73359.006691292161</v>
      </c>
      <c r="T21" s="200">
        <f t="shared" si="7"/>
        <v>1057232.7434921516</v>
      </c>
      <c r="U21" s="200">
        <f t="shared" si="8"/>
        <v>1707600.4078561282</v>
      </c>
      <c r="V21" s="187">
        <f t="shared" si="9"/>
        <v>230.83333333333337</v>
      </c>
      <c r="W21" s="148">
        <f t="shared" si="10"/>
        <v>7397.5468932395434</v>
      </c>
    </row>
    <row r="22" spans="1:23" hidden="1" x14ac:dyDescent="0.2">
      <c r="A22" s="241">
        <v>9257017</v>
      </c>
      <c r="B22" s="42" t="s">
        <v>79</v>
      </c>
      <c r="C22" s="43">
        <v>5</v>
      </c>
      <c r="D22" s="54">
        <f>'Revised Band Returns'!F22</f>
        <v>0.30864197530864196</v>
      </c>
      <c r="E22" s="54">
        <f>'Revised Band Returns'!H22</f>
        <v>0.5679012345679012</v>
      </c>
      <c r="F22" s="54">
        <f>'Revised Band Returns'!J22</f>
        <v>0</v>
      </c>
      <c r="G22" s="54">
        <f>'Revised Band Returns'!L22</f>
        <v>0</v>
      </c>
      <c r="H22" s="54">
        <f>'Revised Band Returns'!N22</f>
        <v>0.12345679012345678</v>
      </c>
      <c r="I22" s="191">
        <v>25</v>
      </c>
      <c r="J22" s="191">
        <v>12</v>
      </c>
      <c r="K22" s="192">
        <f t="shared" si="0"/>
        <v>37</v>
      </c>
      <c r="L22" s="84">
        <f t="shared" si="1"/>
        <v>99495.592950457911</v>
      </c>
      <c r="M22" s="84">
        <f t="shared" si="2"/>
        <v>47757.884616219795</v>
      </c>
      <c r="N22" s="197">
        <f t="shared" si="3"/>
        <v>147253.4775666777</v>
      </c>
      <c r="O22" s="195">
        <v>0</v>
      </c>
      <c r="P22" s="195">
        <v>0</v>
      </c>
      <c r="Q22" s="195">
        <f t="shared" si="4"/>
        <v>0</v>
      </c>
      <c r="R22" s="84">
        <f t="shared" si="5"/>
        <v>0</v>
      </c>
      <c r="S22" s="84">
        <f t="shared" si="6"/>
        <v>0</v>
      </c>
      <c r="T22" s="200">
        <f t="shared" si="7"/>
        <v>0</v>
      </c>
      <c r="U22" s="200">
        <f t="shared" si="8"/>
        <v>147253.4775666777</v>
      </c>
      <c r="V22" s="187">
        <f t="shared" si="9"/>
        <v>15.416666666666668</v>
      </c>
      <c r="W22" s="148">
        <f t="shared" si="10"/>
        <v>9551.5769232439579</v>
      </c>
    </row>
    <row r="23" spans="1:23" hidden="1" x14ac:dyDescent="0.2">
      <c r="A23" s="241">
        <v>9257016</v>
      </c>
      <c r="B23" s="42" t="s">
        <v>80</v>
      </c>
      <c r="C23" s="43">
        <v>6</v>
      </c>
      <c r="D23" s="54">
        <f>'Revised Band Returns'!F23</f>
        <v>0.42307692307692307</v>
      </c>
      <c r="E23" s="54">
        <f>'Revised Band Returns'!H23</f>
        <v>0</v>
      </c>
      <c r="F23" s="54">
        <f>'Revised Band Returns'!J23</f>
        <v>0.125</v>
      </c>
      <c r="G23" s="54">
        <f>'Revised Band Returns'!L23</f>
        <v>0.36538461538461536</v>
      </c>
      <c r="H23" s="54">
        <f>'Revised Band Returns'!N23</f>
        <v>8.6538461538461536E-2</v>
      </c>
      <c r="I23" s="191">
        <v>83</v>
      </c>
      <c r="J23" s="191">
        <v>46</v>
      </c>
      <c r="K23" s="192">
        <f>SUM(I23:J23)</f>
        <v>129</v>
      </c>
      <c r="L23" s="84">
        <f t="shared" si="1"/>
        <v>388682.65777476312</v>
      </c>
      <c r="M23" s="84">
        <f t="shared" si="2"/>
        <v>215414.48503179642</v>
      </c>
      <c r="N23" s="197">
        <f t="shared" si="3"/>
        <v>604097.14280655957</v>
      </c>
      <c r="O23" s="195">
        <v>79</v>
      </c>
      <c r="P23" s="195">
        <v>50</v>
      </c>
      <c r="Q23" s="195">
        <f t="shared" si="4"/>
        <v>129</v>
      </c>
      <c r="R23" s="84">
        <f t="shared" si="5"/>
        <v>517931.34879384103</v>
      </c>
      <c r="S23" s="84">
        <f t="shared" si="6"/>
        <v>327804.65113534243</v>
      </c>
      <c r="T23" s="200">
        <f t="shared" si="7"/>
        <v>845735.9999291834</v>
      </c>
      <c r="U23" s="200">
        <f t="shared" si="8"/>
        <v>1449833.142735743</v>
      </c>
      <c r="V23" s="187">
        <f t="shared" si="9"/>
        <v>129</v>
      </c>
      <c r="W23" s="148">
        <f t="shared" si="10"/>
        <v>11239.016610354596</v>
      </c>
    </row>
    <row r="24" spans="1:23" x14ac:dyDescent="0.2">
      <c r="A24" s="135">
        <v>9257012</v>
      </c>
      <c r="B24" s="135" t="s">
        <v>137</v>
      </c>
      <c r="C24" s="134"/>
      <c r="D24" s="54">
        <v>0</v>
      </c>
      <c r="E24" s="54">
        <v>0</v>
      </c>
      <c r="F24" s="54">
        <v>0</v>
      </c>
      <c r="G24" s="54">
        <v>1</v>
      </c>
      <c r="H24" s="98">
        <v>0</v>
      </c>
      <c r="I24" s="192">
        <v>20</v>
      </c>
      <c r="J24" s="192">
        <v>0</v>
      </c>
      <c r="K24" s="192">
        <f>SUM(I24:J24)</f>
        <v>20</v>
      </c>
      <c r="L24" s="84">
        <f t="shared" si="1"/>
        <v>97433.505317473231</v>
      </c>
      <c r="M24" s="84">
        <f t="shared" si="2"/>
        <v>0</v>
      </c>
      <c r="N24" s="197">
        <f t="shared" si="3"/>
        <v>97433.505317473231</v>
      </c>
      <c r="O24" s="98">
        <v>20</v>
      </c>
      <c r="P24" s="98">
        <v>0</v>
      </c>
      <c r="Q24" s="98">
        <f t="shared" si="4"/>
        <v>20</v>
      </c>
      <c r="R24" s="84">
        <f t="shared" si="5"/>
        <v>136406.90744446253</v>
      </c>
      <c r="S24" s="84">
        <f t="shared" si="6"/>
        <v>0</v>
      </c>
      <c r="T24" s="200">
        <f t="shared" si="7"/>
        <v>136406.90744446253</v>
      </c>
      <c r="U24" s="200">
        <f t="shared" si="8"/>
        <v>233840.41276193576</v>
      </c>
      <c r="V24" s="187">
        <f t="shared" si="9"/>
        <v>20</v>
      </c>
      <c r="W24" s="148">
        <f t="shared" si="10"/>
        <v>11692.020638096788</v>
      </c>
    </row>
    <row r="25" spans="1:23" x14ac:dyDescent="0.2">
      <c r="A25" s="135">
        <v>9257003</v>
      </c>
      <c r="B25" s="135" t="s">
        <v>138</v>
      </c>
      <c r="C25" s="134"/>
      <c r="D25" s="54">
        <v>0</v>
      </c>
      <c r="E25" s="54">
        <v>0</v>
      </c>
      <c r="F25" s="54">
        <v>0</v>
      </c>
      <c r="G25" s="54">
        <v>1</v>
      </c>
      <c r="H25" s="98">
        <v>0</v>
      </c>
      <c r="I25" s="192">
        <v>13</v>
      </c>
      <c r="J25" s="192">
        <v>0</v>
      </c>
      <c r="K25" s="192">
        <f t="shared" si="0"/>
        <v>13</v>
      </c>
      <c r="L25" s="84">
        <f t="shared" si="1"/>
        <v>63331.778456357599</v>
      </c>
      <c r="M25" s="84">
        <f t="shared" si="2"/>
        <v>0</v>
      </c>
      <c r="N25" s="197">
        <f t="shared" si="3"/>
        <v>63331.778456357599</v>
      </c>
      <c r="O25" s="98">
        <v>13</v>
      </c>
      <c r="P25" s="98">
        <v>0</v>
      </c>
      <c r="Q25" s="98">
        <f t="shared" si="4"/>
        <v>13</v>
      </c>
      <c r="R25" s="84">
        <f t="shared" si="5"/>
        <v>88664.489838900641</v>
      </c>
      <c r="S25" s="84">
        <f t="shared" si="6"/>
        <v>0</v>
      </c>
      <c r="T25" s="200">
        <f t="shared" si="7"/>
        <v>88664.489838900641</v>
      </c>
      <c r="U25" s="200">
        <f t="shared" si="8"/>
        <v>151996.26829525823</v>
      </c>
      <c r="V25" s="187">
        <f t="shared" si="9"/>
        <v>13</v>
      </c>
      <c r="W25" s="148">
        <f t="shared" si="10"/>
        <v>11692.020638096787</v>
      </c>
    </row>
    <row r="26" spans="1:23" x14ac:dyDescent="0.2">
      <c r="B26" s="55"/>
      <c r="C26" s="55"/>
      <c r="S26" s="84"/>
    </row>
    <row r="27" spans="1:23" x14ac:dyDescent="0.2">
      <c r="B27" s="55"/>
      <c r="C27" s="55"/>
      <c r="V27" s="67"/>
    </row>
    <row r="28" spans="1:23" x14ac:dyDescent="0.2">
      <c r="K28" s="57"/>
      <c r="L28" s="57"/>
      <c r="M28" s="57"/>
      <c r="N28" s="55"/>
      <c r="O28" s="55"/>
      <c r="P28" s="55"/>
      <c r="Q28" s="55"/>
      <c r="R28" s="55"/>
      <c r="S28" s="55"/>
      <c r="T28" s="201"/>
      <c r="U28" s="201"/>
    </row>
    <row r="29" spans="1:23" x14ac:dyDescent="0.2">
      <c r="B29" s="44"/>
      <c r="C29" s="44"/>
      <c r="J29" s="57"/>
      <c r="K29" s="279"/>
      <c r="L29" s="279"/>
      <c r="M29" s="279"/>
      <c r="N29" s="280"/>
      <c r="O29" s="81"/>
      <c r="P29" s="194"/>
      <c r="Q29" s="194"/>
      <c r="R29" s="194"/>
      <c r="S29" s="194"/>
      <c r="T29" s="202"/>
      <c r="U29" s="202"/>
    </row>
    <row r="30" spans="1:23" x14ac:dyDescent="0.2">
      <c r="J30" s="57"/>
      <c r="K30" s="280"/>
      <c r="L30" s="280"/>
      <c r="M30" s="280"/>
      <c r="N30" s="280"/>
      <c r="O30" s="81"/>
      <c r="P30" s="194"/>
      <c r="Q30" s="194"/>
      <c r="R30" s="194"/>
      <c r="S30" s="194"/>
      <c r="T30" s="202"/>
      <c r="U30" s="202"/>
    </row>
    <row r="31" spans="1:23" x14ac:dyDescent="0.2">
      <c r="C31" s="56"/>
      <c r="D31" s="57"/>
      <c r="E31" s="38" t="s">
        <v>2</v>
      </c>
      <c r="G31" s="46">
        <f>'Funding Model'!D7</f>
        <v>11692.020638096787</v>
      </c>
      <c r="H31" s="58">
        <f>'Funding Model'!E7</f>
        <v>0</v>
      </c>
      <c r="I31" s="58"/>
      <c r="J31" s="281"/>
      <c r="K31" s="280"/>
      <c r="L31" s="280"/>
      <c r="M31" s="280"/>
      <c r="N31" s="280"/>
      <c r="O31" s="81"/>
      <c r="P31" s="194"/>
      <c r="Q31" s="194"/>
      <c r="R31" s="194"/>
      <c r="S31" s="194"/>
      <c r="T31" s="202"/>
      <c r="U31" s="202"/>
    </row>
    <row r="32" spans="1:23" x14ac:dyDescent="0.2">
      <c r="C32" s="59"/>
      <c r="D32" s="57"/>
      <c r="G32" s="46"/>
      <c r="H32" s="58"/>
      <c r="I32" s="58"/>
      <c r="J32" s="281"/>
      <c r="K32" s="280"/>
      <c r="L32" s="280"/>
      <c r="M32" s="280"/>
      <c r="N32" s="280"/>
      <c r="O32" s="81"/>
      <c r="P32" s="194"/>
      <c r="Q32" s="194"/>
      <c r="R32" s="194"/>
      <c r="S32" s="194"/>
      <c r="T32" s="202"/>
      <c r="U32" s="202"/>
    </row>
    <row r="33" spans="2:21" x14ac:dyDescent="0.2">
      <c r="C33" s="56"/>
      <c r="D33" s="57"/>
      <c r="E33" s="38" t="s">
        <v>3</v>
      </c>
      <c r="G33" s="46">
        <f>'Funding Model'!D9</f>
        <v>7350.1419469065795</v>
      </c>
      <c r="H33" s="58">
        <f>'Funding Model'!E9</f>
        <v>0</v>
      </c>
      <c r="I33" s="58"/>
      <c r="J33" s="281"/>
      <c r="K33" s="279"/>
      <c r="L33" s="279"/>
      <c r="M33" s="279"/>
      <c r="N33" s="280"/>
      <c r="O33" s="81"/>
      <c r="P33" s="194"/>
      <c r="Q33" s="194"/>
      <c r="R33" s="194"/>
      <c r="S33" s="194"/>
      <c r="T33" s="202"/>
      <c r="U33" s="202"/>
    </row>
    <row r="34" spans="2:21" x14ac:dyDescent="0.2">
      <c r="C34" s="59"/>
      <c r="D34" s="57"/>
      <c r="G34" s="46"/>
      <c r="H34" s="58"/>
      <c r="I34" s="58"/>
      <c r="J34" s="281"/>
      <c r="K34" s="279"/>
      <c r="L34" s="279"/>
      <c r="M34" s="279"/>
      <c r="N34" s="280"/>
      <c r="O34" s="81"/>
      <c r="P34" s="194"/>
      <c r="Q34" s="194"/>
      <c r="R34" s="194"/>
      <c r="S34" s="194"/>
      <c r="T34" s="202"/>
      <c r="U34" s="202"/>
    </row>
    <row r="35" spans="2:21" x14ac:dyDescent="0.2">
      <c r="C35" s="56"/>
      <c r="D35" s="57"/>
      <c r="E35" s="38" t="s">
        <v>5</v>
      </c>
      <c r="G35" s="46">
        <f>'Funding Model'!D11</f>
        <v>6243.7244928897762</v>
      </c>
      <c r="H35" s="58">
        <f>'Funding Model'!E11</f>
        <v>0</v>
      </c>
      <c r="I35" s="58"/>
      <c r="J35" s="281"/>
      <c r="K35" s="279"/>
      <c r="L35" s="279"/>
      <c r="M35" s="279"/>
      <c r="N35" s="280"/>
      <c r="O35" s="81"/>
      <c r="P35" s="194"/>
      <c r="Q35" s="194"/>
      <c r="R35" s="194"/>
      <c r="S35" s="194"/>
      <c r="T35" s="202"/>
      <c r="U35" s="202"/>
    </row>
    <row r="36" spans="2:21" x14ac:dyDescent="0.2">
      <c r="C36" s="59"/>
      <c r="D36" s="57"/>
      <c r="G36" s="46"/>
      <c r="H36" s="58"/>
      <c r="I36" s="58"/>
      <c r="J36" s="281"/>
      <c r="K36" s="280"/>
      <c r="L36" s="25"/>
      <c r="M36" s="282"/>
      <c r="N36" s="280"/>
      <c r="O36" s="81"/>
      <c r="P36" s="194"/>
      <c r="Q36" s="194"/>
      <c r="R36" s="194"/>
      <c r="S36" s="194"/>
      <c r="T36" s="202"/>
      <c r="U36" s="202"/>
    </row>
    <row r="37" spans="2:21" x14ac:dyDescent="0.2">
      <c r="C37" s="56"/>
      <c r="D37" s="57"/>
      <c r="E37" s="38" t="s">
        <v>7</v>
      </c>
      <c r="G37" s="46">
        <f>'Funding Model'!D13</f>
        <v>11692.020638096787</v>
      </c>
      <c r="H37" s="58">
        <f>'Funding Model'!E13</f>
        <v>0</v>
      </c>
      <c r="I37" s="58"/>
      <c r="J37" s="281"/>
      <c r="K37" s="279"/>
      <c r="L37" s="279"/>
      <c r="M37" s="279"/>
      <c r="N37" s="280"/>
      <c r="O37" s="81"/>
      <c r="P37" s="194"/>
      <c r="Q37" s="194"/>
      <c r="R37" s="194"/>
      <c r="S37" s="194"/>
      <c r="T37" s="202"/>
      <c r="U37" s="202"/>
    </row>
    <row r="38" spans="2:21" x14ac:dyDescent="0.2">
      <c r="C38" s="59"/>
      <c r="D38" s="57"/>
      <c r="G38" s="46"/>
      <c r="H38" s="58"/>
      <c r="I38" s="58"/>
      <c r="J38" s="281"/>
      <c r="K38" s="280"/>
      <c r="L38" s="25"/>
      <c r="M38" s="282"/>
      <c r="N38" s="280"/>
      <c r="O38" s="81"/>
      <c r="P38" s="194"/>
      <c r="Q38" s="194"/>
      <c r="R38" s="194"/>
      <c r="S38" s="194"/>
      <c r="T38" s="202"/>
      <c r="U38" s="202"/>
    </row>
    <row r="39" spans="2:21" x14ac:dyDescent="0.2">
      <c r="C39" s="56"/>
      <c r="D39" s="57"/>
      <c r="E39" s="38" t="s">
        <v>8</v>
      </c>
      <c r="G39" s="46">
        <f>'Funding Model'!D15</f>
        <v>11692.020638096787</v>
      </c>
      <c r="H39" s="58">
        <f>'Funding Model'!E15</f>
        <v>0</v>
      </c>
      <c r="I39" s="58"/>
      <c r="J39" s="281"/>
      <c r="K39" s="279"/>
      <c r="L39" s="279"/>
      <c r="M39" s="279"/>
      <c r="N39" s="280"/>
      <c r="O39" s="81"/>
      <c r="P39" s="194"/>
      <c r="Q39" s="194"/>
      <c r="R39" s="194"/>
      <c r="S39" s="194"/>
      <c r="T39" s="202"/>
      <c r="U39" s="202"/>
    </row>
    <row r="40" spans="2:21" ht="14.25" x14ac:dyDescent="0.2">
      <c r="B40" s="60"/>
      <c r="C40" s="61"/>
      <c r="D40" s="62"/>
      <c r="E40" s="63"/>
      <c r="H40" s="71"/>
      <c r="I40" s="71"/>
      <c r="J40" s="283"/>
      <c r="K40" s="279"/>
      <c r="L40" s="279"/>
      <c r="M40" s="279"/>
      <c r="N40" s="280"/>
      <c r="O40" s="81"/>
      <c r="P40" s="194"/>
      <c r="Q40" s="194"/>
      <c r="R40" s="194"/>
      <c r="S40" s="194"/>
      <c r="T40" s="202"/>
      <c r="U40" s="202"/>
    </row>
    <row r="41" spans="2:21" ht="14.25" x14ac:dyDescent="0.2">
      <c r="B41" s="64"/>
      <c r="C41" s="65"/>
      <c r="E41" s="38" t="s">
        <v>109</v>
      </c>
      <c r="G41" s="46">
        <f>'Funding Model'!D17</f>
        <v>2635.0478891670464</v>
      </c>
      <c r="H41" s="58">
        <f>'Funding Model'!E17</f>
        <v>0</v>
      </c>
      <c r="I41" s="58"/>
      <c r="J41" s="281"/>
      <c r="K41" s="279"/>
      <c r="L41" s="279"/>
      <c r="M41" s="279"/>
      <c r="N41" s="280"/>
      <c r="O41" s="81"/>
      <c r="P41" s="194"/>
      <c r="Q41" s="194"/>
      <c r="R41" s="194"/>
      <c r="S41" s="194"/>
      <c r="T41" s="202"/>
      <c r="U41" s="202"/>
    </row>
    <row r="42" spans="2:21" x14ac:dyDescent="0.2">
      <c r="J42" s="57"/>
      <c r="K42" s="280"/>
      <c r="L42" s="280"/>
      <c r="M42" s="280"/>
      <c r="N42" s="280"/>
      <c r="O42" s="81"/>
      <c r="P42" s="194"/>
      <c r="Q42" s="194"/>
      <c r="R42" s="194"/>
      <c r="S42" s="194"/>
      <c r="T42" s="202"/>
      <c r="U42" s="202"/>
    </row>
    <row r="43" spans="2:21" x14ac:dyDescent="0.2">
      <c r="J43" s="57"/>
      <c r="K43" s="279"/>
      <c r="L43" s="279"/>
      <c r="M43" s="279"/>
      <c r="N43" s="280"/>
      <c r="O43" s="81"/>
      <c r="P43" s="194"/>
      <c r="Q43" s="194"/>
      <c r="R43" s="194"/>
      <c r="S43" s="194"/>
      <c r="T43" s="202"/>
      <c r="U43" s="202"/>
    </row>
    <row r="44" spans="2:21" x14ac:dyDescent="0.2">
      <c r="J44" s="57"/>
      <c r="K44" s="279"/>
      <c r="L44" s="279"/>
      <c r="M44" s="279"/>
      <c r="N44" s="280"/>
      <c r="O44" s="81"/>
      <c r="P44" s="194"/>
      <c r="Q44" s="194"/>
      <c r="R44" s="194"/>
      <c r="S44" s="194"/>
      <c r="T44" s="202"/>
      <c r="U44" s="202"/>
    </row>
    <row r="45" spans="2:21" x14ac:dyDescent="0.2">
      <c r="J45" s="57"/>
      <c r="K45" s="279"/>
      <c r="L45" s="279"/>
      <c r="M45" s="279"/>
      <c r="N45" s="280"/>
      <c r="O45" s="81"/>
      <c r="P45" s="194"/>
      <c r="Q45" s="194"/>
      <c r="R45" s="194"/>
      <c r="S45" s="194"/>
      <c r="T45" s="202"/>
      <c r="U45" s="202"/>
    </row>
    <row r="46" spans="2:21" x14ac:dyDescent="0.2">
      <c r="J46" s="57"/>
      <c r="K46" s="279"/>
      <c r="L46" s="279"/>
      <c r="M46" s="279"/>
      <c r="N46" s="280"/>
      <c r="O46" s="81"/>
      <c r="P46" s="194"/>
      <c r="Q46" s="194"/>
      <c r="R46" s="194"/>
      <c r="S46" s="194"/>
      <c r="T46" s="202"/>
      <c r="U46" s="202"/>
    </row>
    <row r="47" spans="2:21" x14ac:dyDescent="0.2">
      <c r="J47" s="57"/>
      <c r="K47" s="279"/>
      <c r="L47" s="279"/>
      <c r="M47" s="279"/>
      <c r="N47" s="280"/>
      <c r="O47" s="81"/>
      <c r="P47" s="194"/>
      <c r="Q47" s="194"/>
      <c r="R47" s="194"/>
      <c r="S47" s="194"/>
      <c r="T47" s="202"/>
      <c r="U47" s="202"/>
    </row>
    <row r="48" spans="2:21" x14ac:dyDescent="0.2">
      <c r="J48" s="57"/>
      <c r="K48" s="279"/>
      <c r="L48" s="279"/>
      <c r="M48" s="279"/>
      <c r="N48" s="280"/>
      <c r="O48" s="81"/>
      <c r="P48" s="194"/>
      <c r="Q48" s="194"/>
      <c r="R48" s="194"/>
      <c r="S48" s="194"/>
      <c r="T48" s="202"/>
      <c r="U48" s="202"/>
    </row>
    <row r="49" spans="10:21" x14ac:dyDescent="0.2">
      <c r="J49" s="57"/>
      <c r="K49" s="279"/>
      <c r="L49" s="279"/>
      <c r="M49" s="279"/>
      <c r="N49" s="280"/>
      <c r="O49" s="81"/>
      <c r="P49" s="194"/>
      <c r="Q49" s="194"/>
      <c r="R49" s="194"/>
      <c r="S49" s="194"/>
      <c r="T49" s="202"/>
      <c r="U49" s="202"/>
    </row>
    <row r="50" spans="10:21" x14ac:dyDescent="0.2">
      <c r="J50" s="57"/>
      <c r="K50" s="57"/>
      <c r="L50" s="57"/>
      <c r="M50" s="57"/>
      <c r="N50" s="55"/>
      <c r="O50" s="55"/>
      <c r="P50" s="55"/>
      <c r="Q50" s="55"/>
      <c r="R50" s="55"/>
      <c r="S50" s="55"/>
      <c r="T50" s="201"/>
      <c r="U50" s="20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69"/>
  <sheetViews>
    <sheetView zoomScale="85" workbookViewId="0">
      <selection activeCell="Q23" sqref="Q23"/>
    </sheetView>
  </sheetViews>
  <sheetFormatPr defaultColWidth="9.140625" defaultRowHeight="12" customHeight="1" x14ac:dyDescent="0.25"/>
  <cols>
    <col min="1" max="1" width="10.5703125" style="250" bestFit="1" customWidth="1"/>
    <col min="2" max="5" width="9.140625" style="249"/>
    <col min="6" max="6" width="10.28515625" style="249" bestFit="1" customWidth="1"/>
    <col min="7" max="9" width="9.140625" style="249"/>
    <col min="10" max="10" width="12.140625" style="250" customWidth="1"/>
    <col min="11" max="12" width="9.140625" style="251"/>
    <col min="13" max="15" width="9.140625" style="249"/>
    <col min="16" max="16" width="9.85546875" style="249" customWidth="1"/>
    <col min="17" max="18" width="10.28515625" style="249" customWidth="1"/>
    <col min="19" max="30" width="9.140625" style="249"/>
    <col min="31" max="16384" width="9.140625" style="251"/>
  </cols>
  <sheetData>
    <row r="1" spans="1:30" ht="12" customHeight="1" x14ac:dyDescent="0.25">
      <c r="A1" s="250">
        <v>1</v>
      </c>
      <c r="B1" s="249">
        <v>2</v>
      </c>
      <c r="C1" s="249">
        <v>3</v>
      </c>
      <c r="D1" s="249">
        <v>4</v>
      </c>
      <c r="E1" s="249">
        <v>5</v>
      </c>
      <c r="F1" s="249">
        <v>6</v>
      </c>
      <c r="G1" s="249">
        <v>7</v>
      </c>
      <c r="H1" s="249">
        <v>8</v>
      </c>
      <c r="I1" s="249">
        <v>9</v>
      </c>
      <c r="J1" s="250">
        <v>10</v>
      </c>
      <c r="K1" s="251">
        <v>11</v>
      </c>
      <c r="L1" s="251">
        <v>12</v>
      </c>
      <c r="M1" s="249">
        <v>13</v>
      </c>
      <c r="N1" s="249">
        <v>14</v>
      </c>
      <c r="O1" s="249">
        <v>15</v>
      </c>
      <c r="P1" s="249">
        <v>16</v>
      </c>
      <c r="Q1" s="249">
        <v>17</v>
      </c>
      <c r="R1" s="249">
        <v>18</v>
      </c>
    </row>
    <row r="2" spans="1:30" ht="12" customHeight="1" x14ac:dyDescent="0.25">
      <c r="B2" s="248" t="s">
        <v>283</v>
      </c>
    </row>
    <row r="4" spans="1:30" s="252" customFormat="1" ht="12" customHeight="1" x14ac:dyDescent="0.2">
      <c r="A4" s="250"/>
      <c r="B4" s="249"/>
      <c r="C4" s="249"/>
      <c r="D4" s="249"/>
      <c r="E4" s="249"/>
      <c r="F4" s="557" t="s">
        <v>270</v>
      </c>
      <c r="G4" s="557" t="s">
        <v>271</v>
      </c>
      <c r="H4" s="557" t="s">
        <v>282</v>
      </c>
      <c r="I4" s="557" t="s">
        <v>313</v>
      </c>
      <c r="J4" s="553" t="s">
        <v>272</v>
      </c>
      <c r="K4" s="553" t="s">
        <v>273</v>
      </c>
      <c r="L4" s="553" t="s">
        <v>274</v>
      </c>
      <c r="M4" s="553" t="s">
        <v>275</v>
      </c>
      <c r="N4" s="553" t="s">
        <v>286</v>
      </c>
      <c r="O4" s="553" t="s">
        <v>314</v>
      </c>
      <c r="P4" s="553" t="s">
        <v>292</v>
      </c>
      <c r="Q4" s="553" t="s">
        <v>293</v>
      </c>
      <c r="R4" s="553" t="s">
        <v>315</v>
      </c>
      <c r="S4" s="249"/>
      <c r="T4" s="249"/>
      <c r="U4" s="249"/>
      <c r="V4" s="249"/>
      <c r="W4" s="249"/>
      <c r="X4" s="249"/>
      <c r="Y4" s="249"/>
      <c r="Z4" s="249"/>
      <c r="AA4" s="249"/>
      <c r="AB4" s="249"/>
      <c r="AC4" s="249"/>
      <c r="AD4" s="249"/>
    </row>
    <row r="5" spans="1:30" s="252" customFormat="1" ht="12" customHeight="1" x14ac:dyDescent="0.2">
      <c r="A5" s="250"/>
      <c r="B5" s="249"/>
      <c r="C5" s="249"/>
      <c r="D5" s="249"/>
      <c r="E5" s="249"/>
      <c r="F5" s="557"/>
      <c r="G5" s="557"/>
      <c r="H5" s="557"/>
      <c r="I5" s="557"/>
      <c r="J5" s="553"/>
      <c r="K5" s="553"/>
      <c r="L5" s="553"/>
      <c r="M5" s="553"/>
      <c r="N5" s="553"/>
      <c r="O5" s="553"/>
      <c r="P5" s="553"/>
      <c r="Q5" s="553"/>
      <c r="R5" s="553"/>
      <c r="S5" s="249"/>
      <c r="T5" s="249"/>
      <c r="U5" s="249"/>
      <c r="V5" s="249"/>
      <c r="W5" s="249"/>
      <c r="X5" s="249"/>
      <c r="Y5" s="249"/>
      <c r="Z5" s="249"/>
      <c r="AA5" s="249"/>
      <c r="AB5" s="249"/>
      <c r="AC5" s="249"/>
      <c r="AD5" s="249"/>
    </row>
    <row r="6" spans="1:30" s="252" customFormat="1" ht="12" customHeight="1" x14ac:dyDescent="0.2">
      <c r="A6" s="250"/>
      <c r="B6" s="249"/>
      <c r="C6" s="249"/>
      <c r="D6" s="249"/>
      <c r="E6" s="249"/>
      <c r="F6" s="557"/>
      <c r="G6" s="557"/>
      <c r="H6" s="557"/>
      <c r="I6" s="557"/>
      <c r="J6" s="553"/>
      <c r="K6" s="553"/>
      <c r="L6" s="553"/>
      <c r="M6" s="553"/>
      <c r="N6" s="553"/>
      <c r="O6" s="553"/>
      <c r="P6" s="553"/>
      <c r="Q6" s="553"/>
      <c r="R6" s="553"/>
      <c r="S6" s="249"/>
      <c r="T6" s="249"/>
      <c r="U6" s="249"/>
      <c r="V6" s="249"/>
      <c r="W6" s="249"/>
      <c r="X6" s="249"/>
      <c r="Y6" s="249"/>
      <c r="Z6" s="249"/>
      <c r="AA6" s="249"/>
      <c r="AB6" s="249"/>
      <c r="AC6" s="249"/>
      <c r="AD6" s="249"/>
    </row>
    <row r="7" spans="1:30" ht="12" customHeight="1" x14ac:dyDescent="0.25">
      <c r="B7" s="554" t="s">
        <v>153</v>
      </c>
      <c r="C7" s="555"/>
      <c r="D7" s="555"/>
      <c r="E7" s="556"/>
      <c r="F7" s="253"/>
      <c r="G7" s="253"/>
      <c r="H7" s="253"/>
      <c r="I7" s="253"/>
      <c r="J7" s="253"/>
      <c r="K7" s="254"/>
      <c r="L7" s="255"/>
      <c r="M7" s="253"/>
      <c r="N7" s="253"/>
      <c r="O7" s="253"/>
      <c r="P7" s="273"/>
      <c r="Q7" s="273"/>
      <c r="R7" s="273"/>
    </row>
    <row r="8" spans="1:30" ht="12" customHeight="1" x14ac:dyDescent="0.25">
      <c r="A8" s="250">
        <v>9257010</v>
      </c>
      <c r="B8" s="562" t="s">
        <v>86</v>
      </c>
      <c r="C8" s="563"/>
      <c r="D8" s="563"/>
      <c r="E8" s="563"/>
      <c r="F8" s="260">
        <v>35258</v>
      </c>
      <c r="G8" s="260">
        <v>35258</v>
      </c>
      <c r="H8" s="260">
        <v>35258</v>
      </c>
      <c r="I8" s="260"/>
      <c r="J8" s="253"/>
      <c r="K8" s="257">
        <v>0</v>
      </c>
      <c r="L8" s="256"/>
      <c r="M8" s="253"/>
      <c r="N8" s="271"/>
      <c r="O8" s="271"/>
      <c r="P8" s="273"/>
      <c r="Q8" s="273"/>
      <c r="R8" s="273"/>
    </row>
    <row r="9" spans="1:30" ht="12" customHeight="1" x14ac:dyDescent="0.25">
      <c r="A9" s="250">
        <v>9257030</v>
      </c>
      <c r="B9" s="558" t="s">
        <v>194</v>
      </c>
      <c r="C9" s="559"/>
      <c r="D9" s="559"/>
      <c r="E9" s="559"/>
      <c r="F9" s="258"/>
      <c r="G9" s="258"/>
      <c r="H9" s="258"/>
      <c r="I9" s="258"/>
      <c r="J9" s="253"/>
      <c r="K9" s="257">
        <v>0</v>
      </c>
      <c r="L9" s="256"/>
      <c r="M9" s="253"/>
      <c r="N9" s="253"/>
      <c r="O9" s="253"/>
      <c r="P9" s="273"/>
      <c r="Q9" s="273"/>
      <c r="R9" s="273"/>
    </row>
    <row r="10" spans="1:30" ht="12" customHeight="1" x14ac:dyDescent="0.25">
      <c r="A10" s="250">
        <v>9257031</v>
      </c>
      <c r="B10" s="558" t="s">
        <v>195</v>
      </c>
      <c r="C10" s="559"/>
      <c r="D10" s="559"/>
      <c r="E10" s="559"/>
      <c r="F10" s="258"/>
      <c r="G10" s="258"/>
      <c r="H10" s="258"/>
      <c r="I10" s="258"/>
      <c r="J10" s="253"/>
      <c r="K10" s="257">
        <v>0</v>
      </c>
      <c r="L10" s="256"/>
      <c r="M10" s="253"/>
      <c r="N10" s="253"/>
      <c r="O10" s="253"/>
      <c r="P10" s="273"/>
      <c r="Q10" s="273"/>
      <c r="R10" s="273"/>
    </row>
    <row r="11" spans="1:30" ht="12" customHeight="1" x14ac:dyDescent="0.25">
      <c r="A11" s="250">
        <v>9257008</v>
      </c>
      <c r="B11" s="560" t="s">
        <v>87</v>
      </c>
      <c r="C11" s="561"/>
      <c r="D11" s="561"/>
      <c r="E11" s="561"/>
      <c r="F11" s="258"/>
      <c r="G11" s="258"/>
      <c r="H11" s="258"/>
      <c r="I11" s="258"/>
      <c r="J11" s="258"/>
      <c r="K11" s="259">
        <v>4</v>
      </c>
      <c r="L11" s="260">
        <v>44916</v>
      </c>
      <c r="M11" s="258">
        <v>51500</v>
      </c>
      <c r="N11" s="258">
        <v>51500</v>
      </c>
      <c r="O11" s="258"/>
      <c r="P11" s="273"/>
      <c r="Q11" s="273"/>
      <c r="R11" s="273"/>
    </row>
    <row r="12" spans="1:30" ht="12" customHeight="1" x14ac:dyDescent="0.25">
      <c r="A12" s="250">
        <v>9257002</v>
      </c>
      <c r="B12" s="558" t="s">
        <v>54</v>
      </c>
      <c r="C12" s="559"/>
      <c r="D12" s="559"/>
      <c r="E12" s="559"/>
      <c r="F12" s="258"/>
      <c r="G12" s="258"/>
      <c r="H12" s="258"/>
      <c r="I12" s="258"/>
      <c r="J12" s="258"/>
      <c r="K12" s="257">
        <v>0</v>
      </c>
      <c r="L12" s="260"/>
      <c r="M12" s="258"/>
      <c r="N12" s="258"/>
      <c r="O12" s="258"/>
      <c r="P12" s="273"/>
      <c r="Q12" s="273"/>
      <c r="R12" s="273"/>
    </row>
    <row r="13" spans="1:30" ht="12" customHeight="1" x14ac:dyDescent="0.25">
      <c r="A13" s="250">
        <v>9257005</v>
      </c>
      <c r="B13" s="562" t="s">
        <v>88</v>
      </c>
      <c r="C13" s="563"/>
      <c r="D13" s="563"/>
      <c r="E13" s="563"/>
      <c r="F13" s="260">
        <v>35258</v>
      </c>
      <c r="G13" s="260">
        <v>35258</v>
      </c>
      <c r="H13" s="260">
        <v>35258</v>
      </c>
      <c r="I13" s="260"/>
      <c r="J13" s="258"/>
      <c r="K13" s="257">
        <v>0</v>
      </c>
      <c r="L13" s="260"/>
      <c r="M13" s="258"/>
      <c r="N13" s="258"/>
      <c r="O13" s="258"/>
      <c r="P13" s="273"/>
      <c r="Q13" s="273"/>
      <c r="R13" s="273"/>
    </row>
    <row r="14" spans="1:30" ht="12" customHeight="1" x14ac:dyDescent="0.25">
      <c r="A14" s="250">
        <v>9257034</v>
      </c>
      <c r="B14" s="558" t="s">
        <v>196</v>
      </c>
      <c r="C14" s="559"/>
      <c r="D14" s="559"/>
      <c r="E14" s="559"/>
      <c r="F14" s="258"/>
      <c r="G14" s="258"/>
      <c r="H14" s="258"/>
      <c r="I14" s="258"/>
      <c r="J14" s="258"/>
      <c r="K14" s="257">
        <v>0</v>
      </c>
      <c r="L14" s="260"/>
      <c r="M14" s="258"/>
      <c r="N14" s="258"/>
      <c r="O14" s="258"/>
      <c r="P14" s="273"/>
      <c r="Q14" s="273"/>
      <c r="R14" s="273"/>
    </row>
    <row r="15" spans="1:30" ht="12" customHeight="1" x14ac:dyDescent="0.25">
      <c r="A15" s="250">
        <v>9257021</v>
      </c>
      <c r="B15" s="558" t="s">
        <v>58</v>
      </c>
      <c r="C15" s="559"/>
      <c r="D15" s="559"/>
      <c r="E15" s="559"/>
      <c r="F15" s="258"/>
      <c r="G15" s="258"/>
      <c r="H15" s="258">
        <v>35258</v>
      </c>
      <c r="I15" s="258"/>
      <c r="J15" s="258"/>
      <c r="K15" s="257">
        <v>0</v>
      </c>
      <c r="L15" s="260"/>
      <c r="M15" s="258"/>
      <c r="N15" s="258"/>
      <c r="O15" s="258"/>
      <c r="P15" s="258">
        <v>274420</v>
      </c>
      <c r="Q15" s="258">
        <f>P15*(3/12)</f>
        <v>68605</v>
      </c>
      <c r="R15" s="258"/>
      <c r="S15" s="249" t="s">
        <v>284</v>
      </c>
    </row>
    <row r="16" spans="1:30" s="249" customFormat="1" ht="12" customHeight="1" x14ac:dyDescent="0.2">
      <c r="A16" s="250">
        <v>9257033</v>
      </c>
      <c r="B16" s="562" t="s">
        <v>197</v>
      </c>
      <c r="C16" s="563"/>
      <c r="D16" s="563"/>
      <c r="E16" s="563"/>
      <c r="F16" s="260">
        <v>35258</v>
      </c>
      <c r="G16" s="260">
        <v>35258</v>
      </c>
      <c r="H16" s="260">
        <v>35258</v>
      </c>
      <c r="I16" s="260"/>
      <c r="J16" s="258"/>
      <c r="K16" s="257">
        <v>0</v>
      </c>
      <c r="L16" s="260"/>
      <c r="M16" s="258"/>
      <c r="N16" s="271"/>
      <c r="O16" s="271"/>
      <c r="P16" s="273"/>
      <c r="Q16" s="273"/>
      <c r="R16" s="273"/>
    </row>
    <row r="17" spans="1:19" ht="12" customHeight="1" x14ac:dyDescent="0.25">
      <c r="A17" s="250">
        <v>9257017</v>
      </c>
      <c r="B17" s="562" t="s">
        <v>56</v>
      </c>
      <c r="C17" s="563"/>
      <c r="D17" s="563"/>
      <c r="E17" s="563"/>
      <c r="F17" s="260">
        <v>55122</v>
      </c>
      <c r="G17" s="260">
        <v>35258</v>
      </c>
      <c r="H17" s="260">
        <v>35258</v>
      </c>
      <c r="I17" s="260"/>
      <c r="J17" s="258"/>
      <c r="K17" s="257">
        <v>0</v>
      </c>
      <c r="L17" s="260"/>
      <c r="M17" s="258"/>
      <c r="N17" s="258"/>
      <c r="O17" s="258"/>
      <c r="P17" s="273"/>
      <c r="Q17" s="273"/>
      <c r="R17" s="273"/>
    </row>
    <row r="18" spans="1:19" ht="12" customHeight="1" x14ac:dyDescent="0.25">
      <c r="A18" s="250">
        <v>9257015</v>
      </c>
      <c r="B18" s="560" t="s">
        <v>94</v>
      </c>
      <c r="C18" s="561"/>
      <c r="D18" s="561"/>
      <c r="E18" s="561"/>
      <c r="F18" s="258"/>
      <c r="G18" s="258"/>
      <c r="H18" s="258"/>
      <c r="I18" s="258"/>
      <c r="J18" s="258"/>
      <c r="K18" s="259">
        <v>6</v>
      </c>
      <c r="L18" s="260">
        <v>67374</v>
      </c>
      <c r="M18" s="258">
        <v>67374</v>
      </c>
      <c r="N18" s="258">
        <v>51500</v>
      </c>
      <c r="O18" s="258"/>
      <c r="P18" s="273"/>
      <c r="Q18" s="273"/>
      <c r="R18" s="273"/>
      <c r="S18" s="249" t="s">
        <v>276</v>
      </c>
    </row>
    <row r="19" spans="1:19" ht="12" customHeight="1" x14ac:dyDescent="0.25">
      <c r="A19" s="250">
        <v>9257016</v>
      </c>
      <c r="B19" s="560" t="s">
        <v>95</v>
      </c>
      <c r="C19" s="561"/>
      <c r="D19" s="561"/>
      <c r="E19" s="561"/>
      <c r="F19" s="258"/>
      <c r="G19" s="258"/>
      <c r="H19" s="258"/>
      <c r="I19" s="258"/>
      <c r="J19" s="258">
        <v>60000</v>
      </c>
      <c r="K19" s="259">
        <v>8.5</v>
      </c>
      <c r="L19" s="260">
        <v>88935.5</v>
      </c>
      <c r="M19" s="258">
        <v>88936</v>
      </c>
      <c r="N19" s="258">
        <v>88936</v>
      </c>
      <c r="O19" s="258"/>
      <c r="P19" s="258">
        <v>582568</v>
      </c>
      <c r="Q19" s="258">
        <f>P19</f>
        <v>582568</v>
      </c>
      <c r="R19" s="258"/>
    </row>
    <row r="20" spans="1:19" ht="12" customHeight="1" x14ac:dyDescent="0.25">
      <c r="A20" s="250">
        <v>9257032</v>
      </c>
      <c r="B20" s="568" t="s">
        <v>198</v>
      </c>
      <c r="C20" s="569"/>
      <c r="D20" s="569"/>
      <c r="E20" s="570"/>
      <c r="F20" s="258"/>
      <c r="G20" s="258"/>
      <c r="H20" s="258"/>
      <c r="I20" s="258"/>
      <c r="J20" s="258"/>
      <c r="K20" s="257">
        <v>0</v>
      </c>
      <c r="L20" s="260"/>
      <c r="M20" s="258"/>
      <c r="N20" s="258"/>
      <c r="O20" s="258"/>
      <c r="P20" s="273"/>
      <c r="Q20" s="273"/>
      <c r="R20" s="273"/>
    </row>
    <row r="21" spans="1:19" ht="12" customHeight="1" x14ac:dyDescent="0.25">
      <c r="A21" s="250">
        <v>9257025</v>
      </c>
      <c r="B21" s="562" t="s">
        <v>53</v>
      </c>
      <c r="C21" s="563"/>
      <c r="D21" s="563"/>
      <c r="E21" s="563"/>
      <c r="F21" s="260">
        <v>35258</v>
      </c>
      <c r="G21" s="260">
        <v>35258</v>
      </c>
      <c r="H21" s="260">
        <v>35258</v>
      </c>
      <c r="I21" s="260"/>
      <c r="J21" s="258"/>
      <c r="K21" s="257">
        <v>0</v>
      </c>
      <c r="L21" s="260"/>
      <c r="M21" s="258"/>
      <c r="N21" s="271"/>
      <c r="O21" s="271"/>
      <c r="P21" s="273"/>
      <c r="Q21" s="258">
        <f>G60</f>
        <v>327644</v>
      </c>
      <c r="R21" s="258"/>
    </row>
    <row r="22" spans="1:19" ht="12" customHeight="1" x14ac:dyDescent="0.25">
      <c r="A22" s="297">
        <v>9257012</v>
      </c>
      <c r="B22" s="560" t="s">
        <v>199</v>
      </c>
      <c r="C22" s="561"/>
      <c r="D22" s="561"/>
      <c r="E22" s="561"/>
      <c r="F22" s="258"/>
      <c r="G22" s="258"/>
      <c r="H22" s="258"/>
      <c r="I22" s="258"/>
      <c r="J22" s="258"/>
      <c r="K22" s="259">
        <v>96</v>
      </c>
      <c r="L22" s="260">
        <v>166560</v>
      </c>
      <c r="M22" s="258">
        <v>408510</v>
      </c>
      <c r="N22" s="258">
        <v>408510</v>
      </c>
      <c r="O22" s="258">
        <v>408510</v>
      </c>
      <c r="P22" s="273"/>
      <c r="Q22" s="273"/>
      <c r="R22" s="273"/>
      <c r="S22" s="249" t="s">
        <v>218</v>
      </c>
    </row>
    <row r="23" spans="1:19" ht="12" customHeight="1" x14ac:dyDescent="0.25">
      <c r="A23" s="297">
        <v>9257003</v>
      </c>
      <c r="B23" s="558" t="s">
        <v>135</v>
      </c>
      <c r="C23" s="559"/>
      <c r="D23" s="559"/>
      <c r="E23" s="559"/>
      <c r="F23" s="258"/>
      <c r="G23" s="258"/>
      <c r="H23" s="258"/>
      <c r="I23" s="258"/>
      <c r="J23" s="258"/>
      <c r="K23" s="257">
        <v>0</v>
      </c>
      <c r="L23" s="260"/>
      <c r="M23" s="258"/>
      <c r="N23" s="258"/>
      <c r="O23" s="258"/>
      <c r="P23" s="273"/>
      <c r="Q23" s="273"/>
      <c r="R23" s="273"/>
    </row>
    <row r="24" spans="1:19" ht="12" customHeight="1" x14ac:dyDescent="0.25">
      <c r="A24" s="250">
        <v>9257011</v>
      </c>
      <c r="B24" s="562" t="s">
        <v>89</v>
      </c>
      <c r="C24" s="563"/>
      <c r="D24" s="563"/>
      <c r="E24" s="563"/>
      <c r="F24" s="260">
        <v>35258</v>
      </c>
      <c r="G24" s="260">
        <v>35258</v>
      </c>
      <c r="H24" s="260">
        <v>35258</v>
      </c>
      <c r="I24" s="260"/>
      <c r="J24" s="258"/>
      <c r="K24" s="257">
        <v>0</v>
      </c>
      <c r="L24" s="260"/>
      <c r="M24" s="258"/>
      <c r="N24" s="258"/>
      <c r="O24" s="258"/>
      <c r="P24" s="273"/>
      <c r="Q24" s="273"/>
      <c r="R24" s="273"/>
    </row>
    <row r="25" spans="1:19" ht="12" customHeight="1" x14ac:dyDescent="0.25">
      <c r="A25" s="250">
        <v>9257009</v>
      </c>
      <c r="B25" s="562" t="s">
        <v>93</v>
      </c>
      <c r="C25" s="563"/>
      <c r="D25" s="563"/>
      <c r="E25" s="563"/>
      <c r="F25" s="258"/>
      <c r="G25" s="258"/>
      <c r="H25" s="258"/>
      <c r="I25" s="258"/>
      <c r="J25" s="258"/>
      <c r="K25" s="257">
        <v>0</v>
      </c>
      <c r="L25" s="260"/>
      <c r="M25" s="258"/>
      <c r="N25" s="271"/>
      <c r="O25" s="271"/>
      <c r="P25" s="273"/>
      <c r="Q25" s="273"/>
      <c r="R25" s="273"/>
    </row>
    <row r="26" spans="1:19" ht="12" customHeight="1" x14ac:dyDescent="0.25">
      <c r="A26" s="250">
        <v>9257024</v>
      </c>
      <c r="B26" s="562" t="s">
        <v>90</v>
      </c>
      <c r="C26" s="563"/>
      <c r="D26" s="563"/>
      <c r="E26" s="563"/>
      <c r="F26" s="260">
        <v>35258</v>
      </c>
      <c r="G26" s="260">
        <v>35258</v>
      </c>
      <c r="H26" s="260">
        <v>35258</v>
      </c>
      <c r="I26" s="260"/>
      <c r="J26" s="258">
        <v>60000</v>
      </c>
      <c r="K26" s="257">
        <v>0</v>
      </c>
      <c r="L26" s="260"/>
      <c r="M26" s="258"/>
      <c r="N26" s="258"/>
      <c r="O26" s="258"/>
      <c r="P26" s="273"/>
      <c r="Q26" s="273"/>
      <c r="R26" s="273"/>
    </row>
    <row r="27" spans="1:19" ht="12" customHeight="1" x14ac:dyDescent="0.25">
      <c r="A27" s="250">
        <v>9257028</v>
      </c>
      <c r="B27" s="562" t="s">
        <v>136</v>
      </c>
      <c r="C27" s="563"/>
      <c r="D27" s="563"/>
      <c r="E27" s="563"/>
      <c r="F27" s="260">
        <v>35258</v>
      </c>
      <c r="G27" s="260">
        <v>35258</v>
      </c>
      <c r="H27" s="260">
        <v>35258</v>
      </c>
      <c r="I27" s="260"/>
      <c r="J27" s="258">
        <v>60000</v>
      </c>
      <c r="K27" s="257">
        <v>0</v>
      </c>
      <c r="L27" s="260"/>
      <c r="M27" s="258"/>
      <c r="N27" s="258"/>
      <c r="O27" s="258"/>
      <c r="P27" s="273"/>
      <c r="Q27" s="273"/>
      <c r="R27" s="273"/>
    </row>
    <row r="28" spans="1:19" ht="12" customHeight="1" x14ac:dyDescent="0.25">
      <c r="A28" s="250">
        <v>9257029</v>
      </c>
      <c r="B28" s="564" t="s">
        <v>91</v>
      </c>
      <c r="C28" s="565"/>
      <c r="D28" s="565"/>
      <c r="E28" s="566"/>
      <c r="F28" s="260"/>
      <c r="G28" s="260"/>
      <c r="H28" s="260"/>
      <c r="I28" s="260"/>
      <c r="J28" s="258">
        <v>60000</v>
      </c>
      <c r="K28" s="257">
        <v>0</v>
      </c>
      <c r="L28" s="260"/>
      <c r="M28" s="258"/>
      <c r="N28" s="258"/>
      <c r="O28" s="258"/>
      <c r="P28" s="273"/>
      <c r="Q28" s="273"/>
      <c r="R28" s="273"/>
    </row>
    <row r="29" spans="1:19" ht="12" customHeight="1" x14ac:dyDescent="0.25">
      <c r="A29" s="250">
        <v>9257002</v>
      </c>
      <c r="B29" s="564" t="s">
        <v>54</v>
      </c>
      <c r="C29" s="565"/>
      <c r="D29" s="565"/>
      <c r="E29" s="566"/>
      <c r="F29" s="260"/>
      <c r="G29" s="260"/>
      <c r="H29" s="260"/>
      <c r="I29" s="260"/>
      <c r="J29" s="258">
        <v>60000</v>
      </c>
      <c r="K29" s="257">
        <v>0</v>
      </c>
      <c r="L29" s="260"/>
      <c r="M29" s="258"/>
      <c r="N29" s="258"/>
      <c r="O29" s="258"/>
      <c r="P29" s="273"/>
      <c r="Q29" s="273"/>
      <c r="R29" s="273"/>
    </row>
    <row r="30" spans="1:19" ht="12" customHeight="1" x14ac:dyDescent="0.25">
      <c r="A30" s="250">
        <v>9257032</v>
      </c>
      <c r="B30" s="564" t="s">
        <v>55</v>
      </c>
      <c r="C30" s="565"/>
      <c r="D30" s="565"/>
      <c r="E30" s="566"/>
      <c r="F30" s="260"/>
      <c r="G30" s="260"/>
      <c r="H30" s="260"/>
      <c r="I30" s="260"/>
      <c r="J30" s="258">
        <v>60000</v>
      </c>
      <c r="K30" s="257">
        <v>0</v>
      </c>
      <c r="L30" s="260"/>
      <c r="M30" s="258"/>
      <c r="N30" s="258"/>
      <c r="O30" s="258"/>
      <c r="P30" s="273"/>
      <c r="Q30" s="273"/>
      <c r="R30" s="273"/>
    </row>
    <row r="31" spans="1:19" ht="12" customHeight="1" x14ac:dyDescent="0.25">
      <c r="B31" s="572" t="s">
        <v>62</v>
      </c>
      <c r="C31" s="572"/>
      <c r="D31" s="572"/>
      <c r="E31" s="572"/>
      <c r="F31" s="261">
        <f>SUM(F8:F30)</f>
        <v>301928</v>
      </c>
      <c r="G31" s="261">
        <f>SUM(G8:G30)</f>
        <v>282064</v>
      </c>
      <c r="H31" s="261"/>
      <c r="I31" s="261"/>
      <c r="J31" s="261">
        <f t="shared" ref="J31:R31" si="0">SUM(J8:J30)</f>
        <v>360000</v>
      </c>
      <c r="K31" s="262">
        <f t="shared" si="0"/>
        <v>114.5</v>
      </c>
      <c r="L31" s="261">
        <f t="shared" si="0"/>
        <v>367785.5</v>
      </c>
      <c r="M31" s="261">
        <f t="shared" si="0"/>
        <v>616320</v>
      </c>
      <c r="N31" s="261">
        <f t="shared" si="0"/>
        <v>600446</v>
      </c>
      <c r="O31" s="261">
        <f t="shared" si="0"/>
        <v>408510</v>
      </c>
      <c r="P31" s="261">
        <f t="shared" si="0"/>
        <v>856988</v>
      </c>
      <c r="Q31" s="261">
        <f t="shared" si="0"/>
        <v>978817</v>
      </c>
      <c r="R31" s="261">
        <f t="shared" si="0"/>
        <v>0</v>
      </c>
    </row>
    <row r="32" spans="1:19" ht="15" customHeight="1" x14ac:dyDescent="0.25"/>
    <row r="33" spans="1:30" ht="15" customHeight="1" x14ac:dyDescent="0.25">
      <c r="B33" s="263" t="s">
        <v>116</v>
      </c>
    </row>
    <row r="34" spans="1:30" ht="15" customHeight="1" x14ac:dyDescent="0.25">
      <c r="B34" s="264" t="s">
        <v>277</v>
      </c>
    </row>
    <row r="35" spans="1:30" ht="15" customHeight="1" x14ac:dyDescent="0.25">
      <c r="B35" s="567" t="s">
        <v>287</v>
      </c>
      <c r="C35" s="567"/>
      <c r="D35" s="567"/>
      <c r="E35" s="567"/>
      <c r="F35" s="567"/>
      <c r="G35" s="567"/>
      <c r="H35" s="567"/>
      <c r="I35" s="567"/>
      <c r="J35" s="567"/>
      <c r="K35" s="567"/>
      <c r="L35" s="567"/>
      <c r="M35" s="567"/>
      <c r="N35" s="567"/>
      <c r="O35" s="567"/>
      <c r="P35" s="567"/>
      <c r="Q35" s="567"/>
      <c r="R35" s="324"/>
    </row>
    <row r="36" spans="1:30" ht="15" customHeight="1" x14ac:dyDescent="0.25">
      <c r="B36" s="567"/>
      <c r="C36" s="567"/>
      <c r="D36" s="567"/>
      <c r="E36" s="567"/>
      <c r="F36" s="567"/>
      <c r="G36" s="567"/>
      <c r="H36" s="567"/>
      <c r="I36" s="567"/>
      <c r="J36" s="567"/>
      <c r="K36" s="567"/>
      <c r="L36" s="567"/>
      <c r="M36" s="567"/>
      <c r="N36" s="567"/>
      <c r="O36" s="567"/>
      <c r="P36" s="567"/>
      <c r="Q36" s="567"/>
      <c r="R36" s="324"/>
    </row>
    <row r="37" spans="1:30" ht="15" customHeight="1" x14ac:dyDescent="0.25">
      <c r="B37" s="567"/>
      <c r="C37" s="567"/>
      <c r="D37" s="567"/>
      <c r="E37" s="567"/>
      <c r="F37" s="567"/>
      <c r="G37" s="567"/>
      <c r="H37" s="567"/>
      <c r="I37" s="567"/>
      <c r="J37" s="567"/>
      <c r="K37" s="567"/>
      <c r="L37" s="567"/>
      <c r="M37" s="567"/>
      <c r="N37" s="567"/>
      <c r="O37" s="567"/>
      <c r="P37" s="567"/>
      <c r="Q37" s="567"/>
      <c r="R37" s="324"/>
    </row>
    <row r="38" spans="1:30" ht="18.75" customHeight="1" x14ac:dyDescent="0.25">
      <c r="B38" s="567"/>
      <c r="C38" s="567"/>
      <c r="D38" s="567"/>
      <c r="E38" s="567"/>
      <c r="F38" s="567"/>
      <c r="G38" s="567"/>
      <c r="H38" s="567"/>
      <c r="I38" s="567"/>
      <c r="J38" s="567"/>
      <c r="K38" s="567"/>
      <c r="L38" s="567"/>
      <c r="M38" s="567"/>
      <c r="N38" s="567"/>
      <c r="O38" s="567"/>
      <c r="P38" s="567"/>
      <c r="Q38" s="567"/>
      <c r="R38" s="324"/>
    </row>
    <row r="39" spans="1:30" ht="15" customHeight="1" x14ac:dyDescent="0.25">
      <c r="B39" s="265"/>
      <c r="C39" s="265"/>
      <c r="D39" s="265"/>
      <c r="E39" s="265"/>
      <c r="F39" s="265"/>
      <c r="G39" s="265"/>
      <c r="H39" s="265"/>
      <c r="I39" s="265"/>
      <c r="J39" s="266"/>
      <c r="K39" s="265"/>
      <c r="L39" s="265"/>
    </row>
    <row r="40" spans="1:30" ht="15" customHeight="1" x14ac:dyDescent="0.25">
      <c r="B40" s="264" t="s">
        <v>139</v>
      </c>
    </row>
    <row r="41" spans="1:30" ht="15" customHeight="1" x14ac:dyDescent="0.25">
      <c r="B41" s="567" t="s">
        <v>278</v>
      </c>
      <c r="C41" s="567"/>
      <c r="D41" s="567"/>
      <c r="E41" s="567"/>
      <c r="F41" s="567"/>
      <c r="G41" s="567"/>
      <c r="H41" s="567"/>
      <c r="I41" s="567"/>
      <c r="J41" s="567"/>
      <c r="K41" s="567"/>
      <c r="L41" s="567"/>
      <c r="M41" s="567"/>
      <c r="N41" s="567"/>
      <c r="O41" s="567"/>
      <c r="P41" s="567"/>
      <c r="Q41" s="567"/>
      <c r="R41" s="324"/>
    </row>
    <row r="42" spans="1:30" ht="15" customHeight="1" x14ac:dyDescent="0.25">
      <c r="B42" s="567"/>
      <c r="C42" s="567"/>
      <c r="D42" s="567"/>
      <c r="E42" s="567"/>
      <c r="F42" s="567"/>
      <c r="G42" s="567"/>
      <c r="H42" s="567"/>
      <c r="I42" s="567"/>
      <c r="J42" s="567"/>
      <c r="K42" s="567"/>
      <c r="L42" s="567"/>
      <c r="M42" s="567"/>
      <c r="N42" s="567"/>
      <c r="O42" s="567"/>
      <c r="P42" s="567"/>
      <c r="Q42" s="567"/>
      <c r="R42" s="324"/>
    </row>
    <row r="43" spans="1:30" ht="15.75" x14ac:dyDescent="0.25">
      <c r="B43" s="567"/>
      <c r="C43" s="567"/>
      <c r="D43" s="567"/>
      <c r="E43" s="567"/>
      <c r="F43" s="567"/>
      <c r="G43" s="567"/>
      <c r="H43" s="567"/>
      <c r="I43" s="567"/>
      <c r="J43" s="567"/>
      <c r="K43" s="567"/>
      <c r="L43" s="567"/>
      <c r="M43" s="567"/>
      <c r="N43" s="567"/>
      <c r="O43" s="567"/>
      <c r="P43" s="567"/>
      <c r="Q43" s="567"/>
      <c r="R43" s="324"/>
    </row>
    <row r="44" spans="1:30" s="269" customFormat="1" ht="15.75" x14ac:dyDescent="0.25">
      <c r="A44" s="250"/>
      <c r="B44" s="267"/>
      <c r="C44" s="267"/>
      <c r="D44" s="267"/>
      <c r="E44" s="267"/>
      <c r="F44" s="267"/>
      <c r="G44" s="267"/>
      <c r="H44" s="267"/>
      <c r="I44" s="267"/>
      <c r="J44" s="267"/>
      <c r="K44" s="267"/>
      <c r="L44" s="267"/>
      <c r="M44" s="268"/>
      <c r="N44" s="268"/>
      <c r="O44" s="268"/>
      <c r="P44" s="268"/>
      <c r="Q44" s="268"/>
      <c r="R44" s="268"/>
      <c r="S44" s="268"/>
      <c r="T44" s="268"/>
      <c r="U44" s="268"/>
      <c r="V44" s="268"/>
      <c r="W44" s="268"/>
      <c r="X44" s="268"/>
      <c r="Y44" s="268"/>
      <c r="Z44" s="268"/>
      <c r="AA44" s="268"/>
      <c r="AB44" s="268"/>
      <c r="AC44" s="268"/>
      <c r="AD44" s="268"/>
    </row>
    <row r="45" spans="1:30" s="269" customFormat="1" ht="15.75" x14ac:dyDescent="0.25">
      <c r="A45" s="250"/>
      <c r="B45" s="270" t="s">
        <v>279</v>
      </c>
      <c r="C45" s="267"/>
      <c r="D45" s="267"/>
      <c r="E45" s="267"/>
      <c r="F45" s="267"/>
      <c r="G45" s="267"/>
      <c r="H45" s="267"/>
      <c r="I45" s="267"/>
      <c r="J45" s="267"/>
      <c r="K45" s="267"/>
      <c r="L45" s="267"/>
      <c r="M45" s="268"/>
      <c r="N45" s="268"/>
      <c r="O45" s="268"/>
      <c r="P45" s="268"/>
      <c r="Q45" s="268"/>
      <c r="R45" s="268"/>
      <c r="S45" s="268"/>
      <c r="T45" s="268"/>
      <c r="U45" s="268"/>
      <c r="V45" s="268"/>
      <c r="W45" s="268"/>
      <c r="X45" s="268"/>
      <c r="Y45" s="268"/>
      <c r="Z45" s="268"/>
      <c r="AA45" s="268"/>
      <c r="AB45" s="268"/>
      <c r="AC45" s="268"/>
      <c r="AD45" s="268"/>
    </row>
    <row r="46" spans="1:30" s="269" customFormat="1" ht="15.75" customHeight="1" x14ac:dyDescent="0.25">
      <c r="A46" s="250"/>
      <c r="B46" s="571" t="s">
        <v>280</v>
      </c>
      <c r="C46" s="571"/>
      <c r="D46" s="571"/>
      <c r="E46" s="571"/>
      <c r="F46" s="571"/>
      <c r="G46" s="571"/>
      <c r="H46" s="571"/>
      <c r="I46" s="571"/>
      <c r="J46" s="571"/>
      <c r="K46" s="571"/>
      <c r="L46" s="571"/>
      <c r="M46" s="571"/>
      <c r="N46" s="571"/>
      <c r="O46" s="571"/>
      <c r="P46" s="571"/>
      <c r="Q46" s="571"/>
      <c r="R46" s="325"/>
      <c r="S46" s="268"/>
      <c r="T46" s="268"/>
      <c r="U46" s="268"/>
      <c r="V46" s="268"/>
      <c r="W46" s="268"/>
      <c r="X46" s="268"/>
      <c r="Y46" s="268"/>
      <c r="Z46" s="268"/>
      <c r="AA46" s="268"/>
      <c r="AB46" s="268"/>
      <c r="AC46" s="268"/>
      <c r="AD46" s="268"/>
    </row>
    <row r="47" spans="1:30" s="269" customFormat="1" ht="15.75" x14ac:dyDescent="0.25">
      <c r="A47" s="250"/>
      <c r="B47" s="571"/>
      <c r="C47" s="571"/>
      <c r="D47" s="571"/>
      <c r="E47" s="571"/>
      <c r="F47" s="571"/>
      <c r="G47" s="571"/>
      <c r="H47" s="571"/>
      <c r="I47" s="571"/>
      <c r="J47" s="571"/>
      <c r="K47" s="571"/>
      <c r="L47" s="571"/>
      <c r="M47" s="571"/>
      <c r="N47" s="571"/>
      <c r="O47" s="571"/>
      <c r="P47" s="571"/>
      <c r="Q47" s="571"/>
      <c r="R47" s="325"/>
      <c r="S47" s="268"/>
      <c r="T47" s="268"/>
      <c r="U47" s="268"/>
      <c r="V47" s="268"/>
      <c r="W47" s="268"/>
      <c r="X47" s="268"/>
      <c r="Y47" s="268"/>
      <c r="Z47" s="268"/>
      <c r="AA47" s="268"/>
      <c r="AB47" s="268"/>
      <c r="AC47" s="268"/>
      <c r="AD47" s="268"/>
    </row>
    <row r="48" spans="1:30" s="269" customFormat="1" ht="15.75" x14ac:dyDescent="0.25">
      <c r="A48" s="250"/>
      <c r="B48" s="571"/>
      <c r="C48" s="571"/>
      <c r="D48" s="571"/>
      <c r="E48" s="571"/>
      <c r="F48" s="571"/>
      <c r="G48" s="571"/>
      <c r="H48" s="571"/>
      <c r="I48" s="571"/>
      <c r="J48" s="571"/>
      <c r="K48" s="571"/>
      <c r="L48" s="571"/>
      <c r="M48" s="571"/>
      <c r="N48" s="571"/>
      <c r="O48" s="571"/>
      <c r="P48" s="571"/>
      <c r="Q48" s="571"/>
      <c r="R48" s="325"/>
      <c r="S48" s="268"/>
      <c r="T48" s="268"/>
      <c r="U48" s="268"/>
      <c r="V48" s="268"/>
      <c r="W48" s="268"/>
      <c r="X48" s="268"/>
      <c r="Y48" s="268"/>
      <c r="Z48" s="268"/>
      <c r="AA48" s="268"/>
      <c r="AB48" s="268"/>
      <c r="AC48" s="268"/>
      <c r="AD48" s="268"/>
    </row>
    <row r="49" spans="1:30" s="269" customFormat="1" ht="15.75" x14ac:dyDescent="0.25">
      <c r="A49" s="250"/>
      <c r="B49" s="571"/>
      <c r="C49" s="571"/>
      <c r="D49" s="571"/>
      <c r="E49" s="571"/>
      <c r="F49" s="571"/>
      <c r="G49" s="571"/>
      <c r="H49" s="571"/>
      <c r="I49" s="571"/>
      <c r="J49" s="571"/>
      <c r="K49" s="571"/>
      <c r="L49" s="571"/>
      <c r="M49" s="571"/>
      <c r="N49" s="571"/>
      <c r="O49" s="571"/>
      <c r="P49" s="571"/>
      <c r="Q49" s="571"/>
      <c r="R49" s="325"/>
      <c r="S49" s="268"/>
      <c r="T49" s="268"/>
      <c r="U49" s="268"/>
      <c r="V49" s="268"/>
      <c r="W49" s="268"/>
      <c r="X49" s="268"/>
      <c r="Y49" s="268"/>
      <c r="Z49" s="268"/>
      <c r="AA49" s="268"/>
      <c r="AB49" s="268"/>
      <c r="AC49" s="268"/>
      <c r="AD49" s="268"/>
    </row>
    <row r="50" spans="1:30" s="269" customFormat="1" ht="15" customHeight="1" x14ac:dyDescent="0.25">
      <c r="A50" s="250"/>
      <c r="B50" s="267"/>
      <c r="C50" s="267"/>
      <c r="D50" s="267"/>
      <c r="E50" s="267"/>
      <c r="F50" s="267"/>
      <c r="G50" s="267"/>
      <c r="H50" s="267"/>
      <c r="I50" s="267"/>
      <c r="J50" s="267"/>
      <c r="K50" s="267"/>
      <c r="L50" s="267"/>
      <c r="M50" s="268"/>
      <c r="N50" s="268"/>
      <c r="O50" s="268"/>
      <c r="P50" s="268"/>
      <c r="Q50" s="268"/>
      <c r="R50" s="268"/>
      <c r="S50" s="268"/>
      <c r="T50" s="268"/>
      <c r="U50" s="268"/>
      <c r="V50" s="268"/>
      <c r="W50" s="268"/>
      <c r="X50" s="268"/>
      <c r="Y50" s="268"/>
      <c r="Z50" s="268"/>
      <c r="AA50" s="268"/>
      <c r="AB50" s="268"/>
      <c r="AC50" s="268"/>
      <c r="AD50" s="268"/>
    </row>
    <row r="51" spans="1:30" ht="15" customHeight="1" x14ac:dyDescent="0.25">
      <c r="B51" s="567" t="s">
        <v>281</v>
      </c>
      <c r="C51" s="567"/>
      <c r="D51" s="567"/>
      <c r="E51" s="567"/>
      <c r="F51" s="567"/>
      <c r="G51" s="567"/>
      <c r="H51" s="567"/>
      <c r="I51" s="567"/>
      <c r="J51" s="567"/>
      <c r="K51" s="567"/>
      <c r="L51" s="567"/>
      <c r="M51" s="567"/>
      <c r="N51" s="567"/>
      <c r="O51" s="567"/>
      <c r="P51" s="567"/>
      <c r="Q51" s="567"/>
      <c r="R51" s="324"/>
    </row>
    <row r="52" spans="1:30" ht="15.75" x14ac:dyDescent="0.25">
      <c r="B52" s="567"/>
      <c r="C52" s="567"/>
      <c r="D52" s="567"/>
      <c r="E52" s="567"/>
      <c r="F52" s="567"/>
      <c r="G52" s="567"/>
      <c r="H52" s="567"/>
      <c r="I52" s="567"/>
      <c r="J52" s="567"/>
      <c r="K52" s="567"/>
      <c r="L52" s="567"/>
      <c r="M52" s="567"/>
      <c r="N52" s="567"/>
      <c r="O52" s="567"/>
      <c r="P52" s="567"/>
      <c r="Q52" s="567"/>
      <c r="R52" s="324"/>
    </row>
    <row r="53" spans="1:30" ht="15" customHeight="1" x14ac:dyDescent="0.25">
      <c r="B53" s="567" t="s">
        <v>285</v>
      </c>
      <c r="C53" s="567"/>
      <c r="D53" s="567"/>
      <c r="E53" s="567"/>
      <c r="F53" s="567"/>
      <c r="G53" s="567"/>
      <c r="H53" s="567"/>
      <c r="I53" s="567"/>
      <c r="J53" s="567"/>
      <c r="K53" s="567"/>
      <c r="L53" s="567"/>
      <c r="M53" s="567"/>
      <c r="N53" s="567"/>
      <c r="O53" s="567"/>
      <c r="P53" s="567"/>
      <c r="Q53" s="567"/>
      <c r="R53" s="324"/>
    </row>
    <row r="54" spans="1:30" ht="27.75" customHeight="1" x14ac:dyDescent="0.25">
      <c r="B54" s="567"/>
      <c r="C54" s="567"/>
      <c r="D54" s="567"/>
      <c r="E54" s="567"/>
      <c r="F54" s="567"/>
      <c r="G54" s="567"/>
      <c r="H54" s="567"/>
      <c r="I54" s="567"/>
      <c r="J54" s="567"/>
      <c r="K54" s="567"/>
      <c r="L54" s="567"/>
      <c r="M54" s="567"/>
      <c r="N54" s="567"/>
      <c r="O54" s="567"/>
      <c r="P54" s="567"/>
      <c r="Q54" s="567"/>
      <c r="R54" s="324"/>
    </row>
    <row r="55" spans="1:30" ht="27.75" customHeight="1" x14ac:dyDescent="0.25">
      <c r="B55" s="567"/>
      <c r="C55" s="567"/>
      <c r="D55" s="567"/>
      <c r="E55" s="567"/>
      <c r="F55" s="567"/>
      <c r="G55" s="567"/>
      <c r="H55" s="567"/>
      <c r="I55" s="567"/>
      <c r="J55" s="567"/>
      <c r="K55" s="567"/>
      <c r="L55" s="567"/>
      <c r="M55" s="567"/>
      <c r="N55" s="567"/>
      <c r="O55" s="567"/>
      <c r="P55" s="567"/>
      <c r="Q55" s="567"/>
      <c r="R55" s="324"/>
    </row>
    <row r="56" spans="1:30" ht="15" customHeight="1" x14ac:dyDescent="0.25"/>
    <row r="57" spans="1:30" ht="15" customHeight="1" x14ac:dyDescent="0.25">
      <c r="B57" s="264" t="s">
        <v>225</v>
      </c>
      <c r="F57" s="275" t="s">
        <v>147</v>
      </c>
      <c r="G57" s="275" t="s">
        <v>289</v>
      </c>
    </row>
    <row r="58" spans="1:30" ht="15" customHeight="1" x14ac:dyDescent="0.25">
      <c r="A58" s="250">
        <v>9257021</v>
      </c>
      <c r="B58" s="558" t="s">
        <v>58</v>
      </c>
      <c r="C58" s="559"/>
      <c r="D58" s="559"/>
      <c r="E58" s="574"/>
      <c r="F58" s="258">
        <v>274420</v>
      </c>
      <c r="G58" s="258">
        <f>F58*(3/12)</f>
        <v>68605</v>
      </c>
      <c r="J58" s="250" t="s">
        <v>290</v>
      </c>
    </row>
    <row r="59" spans="1:30" ht="15" customHeight="1" x14ac:dyDescent="0.25">
      <c r="A59" s="250">
        <v>9257016</v>
      </c>
      <c r="B59" s="562" t="s">
        <v>95</v>
      </c>
      <c r="C59" s="563"/>
      <c r="D59" s="563"/>
      <c r="E59" s="573"/>
      <c r="F59" s="258">
        <v>582568</v>
      </c>
      <c r="G59" s="258">
        <f>F59</f>
        <v>582568</v>
      </c>
    </row>
    <row r="60" spans="1:30" ht="15" customHeight="1" x14ac:dyDescent="0.25">
      <c r="A60" s="250">
        <v>9257025</v>
      </c>
      <c r="B60" s="562" t="s">
        <v>53</v>
      </c>
      <c r="C60" s="563"/>
      <c r="D60" s="563"/>
      <c r="E60" s="573"/>
      <c r="F60" s="258">
        <v>327644</v>
      </c>
      <c r="G60" s="258">
        <f>F60</f>
        <v>327644</v>
      </c>
    </row>
    <row r="61" spans="1:30" ht="15" customHeight="1" x14ac:dyDescent="0.25">
      <c r="F61" s="274">
        <f>SUM(F58:F60)</f>
        <v>1184632</v>
      </c>
      <c r="G61" s="276">
        <f>SUM(G58:G60)</f>
        <v>978817</v>
      </c>
      <c r="H61" s="249" t="s">
        <v>291</v>
      </c>
    </row>
    <row r="62" spans="1:30" ht="15" customHeight="1" x14ac:dyDescent="0.25">
      <c r="F62" s="272"/>
      <c r="G62" s="272"/>
    </row>
    <row r="63" spans="1:30" ht="15" customHeight="1" x14ac:dyDescent="0.25">
      <c r="B63" s="249" t="s">
        <v>288</v>
      </c>
    </row>
    <row r="64" spans="1:30" ht="15" customHeight="1" x14ac:dyDescent="0.25"/>
    <row r="65" ht="15" customHeight="1" x14ac:dyDescent="0.25"/>
    <row r="66" ht="15" customHeight="1" x14ac:dyDescent="0.25"/>
    <row r="67" ht="15" customHeight="1" x14ac:dyDescent="0.25"/>
    <row r="68" ht="15" customHeight="1" x14ac:dyDescent="0.25"/>
    <row r="69" ht="15" customHeight="1" x14ac:dyDescent="0.25"/>
  </sheetData>
  <customSheetViews>
    <customSheetView guid="{6B129A8F-21F1-407F-BF03-B1785CB23E02}" scale="85" fitToPage="1" state="hidden">
      <selection activeCell="B23" sqref="B23:E23"/>
      <pageMargins left="0.74803149606299213" right="0.74803149606299213" top="0.98425196850393704" bottom="0.98425196850393704" header="0.51181102362204722" footer="0.51181102362204722"/>
      <pageSetup paperSize="9" scale="57" orientation="portrait" r:id="rId1"/>
      <headerFooter alignWithMargins="0"/>
    </customSheetView>
  </customSheetViews>
  <mergeCells count="47">
    <mergeCell ref="B46:Q49"/>
    <mergeCell ref="B51:Q52"/>
    <mergeCell ref="B31:E31"/>
    <mergeCell ref="B41:Q43"/>
    <mergeCell ref="B60:E60"/>
    <mergeCell ref="B53:Q54"/>
    <mergeCell ref="B55:Q55"/>
    <mergeCell ref="B59:E59"/>
    <mergeCell ref="B58:E58"/>
    <mergeCell ref="B13:E13"/>
    <mergeCell ref="B14:E14"/>
    <mergeCell ref="B15:E15"/>
    <mergeCell ref="B16:E16"/>
    <mergeCell ref="B17:E17"/>
    <mergeCell ref="B29:E29"/>
    <mergeCell ref="B18:E18"/>
    <mergeCell ref="B19:E19"/>
    <mergeCell ref="B35:Q38"/>
    <mergeCell ref="B20:E20"/>
    <mergeCell ref="B21:E21"/>
    <mergeCell ref="B30:E30"/>
    <mergeCell ref="B22:E22"/>
    <mergeCell ref="B23:E23"/>
    <mergeCell ref="B24:E24"/>
    <mergeCell ref="B25:E25"/>
    <mergeCell ref="B26:E26"/>
    <mergeCell ref="B27:E27"/>
    <mergeCell ref="B28:E28"/>
    <mergeCell ref="B10:E10"/>
    <mergeCell ref="B11:E11"/>
    <mergeCell ref="F4:F6"/>
    <mergeCell ref="B12:E12"/>
    <mergeCell ref="B8:E8"/>
    <mergeCell ref="B9:E9"/>
    <mergeCell ref="R4:R6"/>
    <mergeCell ref="M4:M6"/>
    <mergeCell ref="B7:E7"/>
    <mergeCell ref="K4:K6"/>
    <mergeCell ref="L4:L6"/>
    <mergeCell ref="G4:G6"/>
    <mergeCell ref="J4:J6"/>
    <mergeCell ref="I4:I6"/>
    <mergeCell ref="O4:O6"/>
    <mergeCell ref="P4:P6"/>
    <mergeCell ref="Q4:Q6"/>
    <mergeCell ref="H4:H6"/>
    <mergeCell ref="N4:N6"/>
  </mergeCells>
  <phoneticPr fontId="60" type="noConversion"/>
  <pageMargins left="0.74803149606299213" right="0.74803149606299213" top="0.98425196850393704" bottom="0.98425196850393704" header="0.51181102362204722" footer="0.51181102362204722"/>
  <pageSetup paperSize="9" scale="57" orientation="portrait" r:id="rId2"/>
  <headerFooter alignWithMargins="0"/>
  <drawing r:id="rId3"/>
  <legacyDrawing r:id="rId4"/>
  <oleObjects>
    <mc:AlternateContent xmlns:mc="http://schemas.openxmlformats.org/markup-compatibility/2006">
      <mc:Choice Requires="x14">
        <oleObject progId="Document" dvAspect="DVASPECT_ICON" shapeId="25601" r:id="rId5">
          <objectPr defaultSize="0" autoPict="0" r:id="rId6">
            <anchor moveWithCells="1">
              <from>
                <xdr:col>18</xdr:col>
                <xdr:colOff>76200</xdr:colOff>
                <xdr:row>34</xdr:row>
                <xdr:rowOff>9525</xdr:rowOff>
              </from>
              <to>
                <xdr:col>18</xdr:col>
                <xdr:colOff>590550</xdr:colOff>
                <xdr:row>36</xdr:row>
                <xdr:rowOff>19050</xdr:rowOff>
              </to>
            </anchor>
          </objectPr>
        </oleObject>
      </mc:Choice>
      <mc:Fallback>
        <oleObject progId="Document" dvAspect="DVASPECT_ICON" shapeId="25601" r:id="rId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
  <sheetViews>
    <sheetView workbookViewId="0">
      <selection activeCell="F11" sqref="F11"/>
    </sheetView>
  </sheetViews>
  <sheetFormatPr defaultRowHeight="12.75" x14ac:dyDescent="0.2"/>
  <sheetData>
    <row r="1" spans="1:12" ht="18" x14ac:dyDescent="0.25">
      <c r="A1" s="38"/>
      <c r="B1" s="48" t="s">
        <v>329</v>
      </c>
      <c r="C1" s="37"/>
      <c r="D1" s="45"/>
      <c r="E1" s="45"/>
      <c r="F1" s="45"/>
      <c r="G1" s="45"/>
      <c r="H1" s="38"/>
      <c r="I1" s="44"/>
      <c r="J1" s="44"/>
      <c r="K1" s="45"/>
      <c r="L1" s="45"/>
    </row>
    <row r="2" spans="1:12" x14ac:dyDescent="0.2">
      <c r="A2" s="38">
        <v>1</v>
      </c>
      <c r="B2" s="52">
        <v>2</v>
      </c>
      <c r="C2" s="52">
        <v>3</v>
      </c>
      <c r="D2" s="45">
        <v>4</v>
      </c>
      <c r="E2" s="45">
        <v>5</v>
      </c>
      <c r="F2" s="45">
        <v>6</v>
      </c>
      <c r="G2" s="45">
        <v>7</v>
      </c>
      <c r="H2" s="38">
        <v>8</v>
      </c>
      <c r="I2" s="44">
        <v>9</v>
      </c>
      <c r="J2" s="44">
        <v>10</v>
      </c>
      <c r="K2" s="45">
        <v>11</v>
      </c>
      <c r="L2" s="81">
        <v>12</v>
      </c>
    </row>
    <row r="3" spans="1:12" s="21" customFormat="1" ht="51" x14ac:dyDescent="0.2">
      <c r="A3" s="240" t="s">
        <v>268</v>
      </c>
      <c r="B3" s="239" t="s">
        <v>66</v>
      </c>
      <c r="C3" s="174" t="s">
        <v>52</v>
      </c>
      <c r="D3" s="146" t="s">
        <v>20</v>
      </c>
      <c r="E3" s="146" t="s">
        <v>21</v>
      </c>
      <c r="F3" s="70" t="s">
        <v>64</v>
      </c>
      <c r="G3" s="70" t="s">
        <v>114</v>
      </c>
      <c r="H3" s="70" t="s">
        <v>103</v>
      </c>
      <c r="I3" s="174" t="s">
        <v>201</v>
      </c>
      <c r="J3" s="174" t="s">
        <v>237</v>
      </c>
      <c r="K3" s="70" t="s">
        <v>104</v>
      </c>
      <c r="L3" s="70" t="s">
        <v>328</v>
      </c>
    </row>
    <row r="4" spans="1:12"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f>
        <v>593728.26534070226</v>
      </c>
      <c r="L4" s="142">
        <f>'Band Calculations'!K24</f>
        <v>20</v>
      </c>
    </row>
    <row r="5" spans="1:12" x14ac:dyDescent="0.2">
      <c r="A5" s="295">
        <v>9257003</v>
      </c>
      <c r="B5" s="138" t="s">
        <v>138</v>
      </c>
      <c r="C5" s="138"/>
      <c r="D5" s="100">
        <f>'Funding Model'!D28</f>
        <v>120796.88938648649</v>
      </c>
      <c r="E5" s="100">
        <f>'Funding Model'!E28</f>
        <v>18681.5</v>
      </c>
      <c r="F5" s="100"/>
      <c r="G5" s="100"/>
      <c r="H5" s="344">
        <f>'Band Calculations 15-16'!U25</f>
        <v>151996.26829525823</v>
      </c>
      <c r="I5" s="344">
        <v>0</v>
      </c>
      <c r="J5" s="344">
        <v>516.53498112061106</v>
      </c>
      <c r="K5" s="344">
        <f>SUM(D5:J5)</f>
        <v>291991.19266286533</v>
      </c>
      <c r="L5" s="345">
        <v>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A1:L5"/>
  <sheetViews>
    <sheetView workbookViewId="0">
      <selection sqref="A1:IV5"/>
    </sheetView>
  </sheetViews>
  <sheetFormatPr defaultRowHeight="12.75" x14ac:dyDescent="0.2"/>
  <cols>
    <col min="2" max="2" width="21.5703125" customWidth="1"/>
  </cols>
  <sheetData>
    <row r="1" spans="1:12" ht="18" x14ac:dyDescent="0.25">
      <c r="A1" s="38"/>
      <c r="B1" s="48" t="s">
        <v>329</v>
      </c>
      <c r="C1" s="37"/>
      <c r="D1" s="45"/>
      <c r="E1" s="45"/>
      <c r="F1" s="45"/>
      <c r="G1" s="45"/>
      <c r="H1" s="38"/>
      <c r="I1" s="44"/>
      <c r="J1" s="44"/>
      <c r="K1" s="45"/>
      <c r="L1" s="45"/>
    </row>
    <row r="2" spans="1:12" x14ac:dyDescent="0.2">
      <c r="A2" s="38">
        <v>1</v>
      </c>
      <c r="B2" s="52">
        <v>2</v>
      </c>
      <c r="C2" s="52">
        <v>3</v>
      </c>
      <c r="D2" s="45">
        <v>4</v>
      </c>
      <c r="E2" s="45">
        <v>5</v>
      </c>
      <c r="F2" s="45">
        <v>6</v>
      </c>
      <c r="G2" s="45">
        <v>7</v>
      </c>
      <c r="H2" s="38">
        <v>8</v>
      </c>
      <c r="I2" s="44">
        <v>9</v>
      </c>
      <c r="J2" s="44">
        <v>10</v>
      </c>
      <c r="K2" s="45">
        <v>11</v>
      </c>
      <c r="L2" s="81">
        <v>12</v>
      </c>
    </row>
    <row r="3" spans="1:12" s="21" customFormat="1" ht="51" x14ac:dyDescent="0.2">
      <c r="A3" s="240" t="s">
        <v>268</v>
      </c>
      <c r="B3" s="239" t="s">
        <v>66</v>
      </c>
      <c r="C3" s="174" t="s">
        <v>52</v>
      </c>
      <c r="D3" s="146" t="s">
        <v>20</v>
      </c>
      <c r="E3" s="146" t="s">
        <v>21</v>
      </c>
      <c r="F3" s="70" t="s">
        <v>64</v>
      </c>
      <c r="G3" s="70" t="s">
        <v>114</v>
      </c>
      <c r="H3" s="70" t="s">
        <v>103</v>
      </c>
      <c r="I3" s="174" t="s">
        <v>201</v>
      </c>
      <c r="J3" s="174" t="s">
        <v>237</v>
      </c>
      <c r="K3" s="70" t="s">
        <v>104</v>
      </c>
      <c r="L3" s="70" t="s">
        <v>328</v>
      </c>
    </row>
    <row r="4" spans="1:12" x14ac:dyDescent="0.2">
      <c r="A4" s="295">
        <v>9257012</v>
      </c>
      <c r="B4" s="138" t="s">
        <v>137</v>
      </c>
      <c r="C4" s="138"/>
      <c r="D4" s="100">
        <f>'Funding Model'!D29</f>
        <v>311632.88595405407</v>
      </c>
      <c r="E4" s="100">
        <f>'Funding Model'!E29</f>
        <v>45920</v>
      </c>
      <c r="F4" s="100"/>
      <c r="G4" s="100"/>
      <c r="H4" s="100">
        <f>'Band Calculations'!U24</f>
        <v>233840.41276193576</v>
      </c>
      <c r="I4" s="100">
        <v>1786</v>
      </c>
      <c r="J4" s="100">
        <v>548.96662471246907</v>
      </c>
      <c r="K4" s="100">
        <f>SUM(D4:J4)</f>
        <v>593728.26534070226</v>
      </c>
      <c r="L4" s="142">
        <f>'Band Calculations'!K24</f>
        <v>20</v>
      </c>
    </row>
    <row r="5" spans="1:12" x14ac:dyDescent="0.2">
      <c r="A5" s="295">
        <v>9257003</v>
      </c>
      <c r="B5" s="138" t="s">
        <v>138</v>
      </c>
      <c r="C5" s="138"/>
      <c r="D5" s="100">
        <f>'Funding Model'!D28</f>
        <v>120796.88938648649</v>
      </c>
      <c r="E5" s="100">
        <f>'Funding Model'!E28</f>
        <v>18681.5</v>
      </c>
      <c r="F5" s="100"/>
      <c r="G5" s="100"/>
      <c r="H5" s="100">
        <f>'Band Calculations'!U25</f>
        <v>105228.18574287108</v>
      </c>
      <c r="I5" s="100">
        <v>0</v>
      </c>
      <c r="J5" s="100">
        <v>516.53498112061106</v>
      </c>
      <c r="K5" s="100">
        <f>SUM(D5:J5)</f>
        <v>245223.11011047818</v>
      </c>
      <c r="L5" s="142">
        <f>'Band Calculations'!K25</f>
        <v>9</v>
      </c>
    </row>
  </sheetData>
  <customSheetViews>
    <customSheetView guid="{6B129A8F-21F1-407F-BF03-B1785CB23E02}" state="hidden">
      <selection activeCell="O12" sqref="O12"/>
      <pageMargins left="0.75" right="0.75" top="1" bottom="1" header="0.5" footer="0.5"/>
      <pageSetup paperSize="9" orientation="portrait" horizontalDpi="1200" verticalDpi="1200" r:id="rId1"/>
      <headerFooter alignWithMargins="0"/>
    </customSheetView>
  </customSheetViews>
  <phoneticPr fontId="60" type="noConversion"/>
  <pageMargins left="0.75" right="0.75" top="1" bottom="1" header="0.5" footer="0.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9</vt:i4>
      </vt:variant>
    </vt:vector>
  </HeadingPairs>
  <TitlesOfParts>
    <vt:vector size="34" baseType="lpstr">
      <vt:lpstr>Funding Model</vt:lpstr>
      <vt:lpstr>Front Sheet - Please Read First</vt:lpstr>
      <vt:lpstr>ISB Weightings</vt:lpstr>
      <vt:lpstr>Budget Shares</vt:lpstr>
      <vt:lpstr>2017-18 Funding</vt:lpstr>
      <vt:lpstr>Band Calculations 17-18</vt:lpstr>
      <vt:lpstr>Other Funding</vt:lpstr>
      <vt:lpstr>2015-16 Funding</vt:lpstr>
      <vt:lpstr>2014-15 Funding</vt:lpstr>
      <vt:lpstr>2013-14 Funding (3)</vt:lpstr>
      <vt:lpstr>2013-14 Funding (2)</vt:lpstr>
      <vt:lpstr>2013-14 Funding</vt:lpstr>
      <vt:lpstr>2013-14 Top-ups</vt:lpstr>
      <vt:lpstr>BS 2012-13</vt:lpstr>
      <vt:lpstr>Band Calculations</vt:lpstr>
      <vt:lpstr>Band Calculations 15-16</vt:lpstr>
      <vt:lpstr>One-Off DSG</vt:lpstr>
      <vt:lpstr>One-Off DSG 15-16</vt:lpstr>
      <vt:lpstr>Revised Band Returns</vt:lpstr>
      <vt:lpstr>Band Calculations 16-17</vt:lpstr>
      <vt:lpstr>2016-17 Funding</vt:lpstr>
      <vt:lpstr>1819 DSG 1718 Underspend</vt:lpstr>
      <vt:lpstr>1819 Funding</vt:lpstr>
      <vt:lpstr>1920 Funding</vt:lpstr>
      <vt:lpstr>2021 Funding</vt:lpstr>
      <vt:lpstr>'ISB Weightings'!OLE_LINK3</vt:lpstr>
      <vt:lpstr>'2013-14 Funding'!Print_Area</vt:lpstr>
      <vt:lpstr>'2013-14 Funding (2)'!Print_Area</vt:lpstr>
      <vt:lpstr>'Budget Shares'!Print_Area</vt:lpstr>
      <vt:lpstr>'Front Sheet - Please Read First'!Print_Area</vt:lpstr>
      <vt:lpstr>'Funding Model'!Print_Area</vt:lpstr>
      <vt:lpstr>'ISB Weightings'!Print_Area</vt:lpstr>
      <vt:lpstr>'Other Funding'!Print_Area</vt:lpstr>
      <vt:lpstr>'2013-14 Funding (3)'!Print_Titles</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mark.popplewell</dc:creator>
  <cp:lastModifiedBy>Teresa Rowson</cp:lastModifiedBy>
  <cp:lastPrinted>2020-02-26T16:15:17Z</cp:lastPrinted>
  <dcterms:created xsi:type="dcterms:W3CDTF">2010-09-24T14:45:42Z</dcterms:created>
  <dcterms:modified xsi:type="dcterms:W3CDTF">2020-02-27T13:54:44Z</dcterms:modified>
</cp:coreProperties>
</file>